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andeeppande\AppData\Local\Microsoft\Windows\INetCache\Content.Outlook\VOK2IT8E\"/>
    </mc:Choice>
  </mc:AlternateContent>
  <xr:revisionPtr revIDLastSave="0" documentId="13_ncr:1_{97ADBE41-556F-4C9D-BC2A-4E34556D65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1" sheetId="19" r:id="rId1"/>
    <sheet name="L2" sheetId="11" r:id="rId2"/>
    <sheet name="L3" sheetId="31" r:id="rId3"/>
    <sheet name="L4" sheetId="5" r:id="rId4"/>
    <sheet name="L5" sheetId="7" r:id="rId5"/>
    <sheet name="L6" sheetId="30" r:id="rId6"/>
    <sheet name="L7" sheetId="6" r:id="rId7"/>
    <sheet name="L10" sheetId="22" r:id="rId8"/>
    <sheet name="L11" sheetId="23" r:id="rId9"/>
    <sheet name="L15" sheetId="32" r:id="rId10"/>
    <sheet name="L32" sheetId="33" r:id="rId11"/>
    <sheet name="L37FPI" sheetId="1" r:id="rId12"/>
    <sheet name="L37Lives" sheetId="2" r:id="rId13"/>
    <sheet name="L38 FPI" sheetId="4" r:id="rId14"/>
    <sheet name="L38 NOP" sheetId="3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9" l="1"/>
  <c r="N19" i="11"/>
  <c r="O19" i="11"/>
  <c r="O27" i="11" s="1"/>
  <c r="O19" i="19"/>
  <c r="AW19" i="19"/>
  <c r="AX66" i="31"/>
  <c r="AY66" i="31"/>
  <c r="AU19" i="19"/>
  <c r="AS65" i="31"/>
  <c r="AR65" i="31"/>
  <c r="AR19" i="11"/>
  <c r="AJ27" i="11"/>
  <c r="AK19" i="19"/>
  <c r="AI19" i="19"/>
  <c r="AI23" i="31"/>
  <c r="AE19" i="19"/>
  <c r="AS14" i="11"/>
  <c r="AI27" i="11"/>
  <c r="AC8" i="19"/>
  <c r="AE14" i="11"/>
  <c r="AE27" i="11"/>
  <c r="Z31" i="31"/>
  <c r="AA12" i="11"/>
  <c r="AA13" i="11"/>
  <c r="AA8" i="19"/>
  <c r="Y19" i="19"/>
  <c r="Y8" i="19"/>
  <c r="X65" i="31"/>
  <c r="X60" i="31"/>
  <c r="Y65" i="31"/>
  <c r="Y60" i="31"/>
  <c r="X23" i="11"/>
  <c r="AC14" i="11"/>
  <c r="Y14" i="11"/>
  <c r="W57" i="19"/>
  <c r="W8" i="19"/>
  <c r="V41" i="11"/>
  <c r="V27" i="11"/>
  <c r="W27" i="11"/>
  <c r="K27" i="11"/>
  <c r="J27" i="11"/>
  <c r="K19" i="19"/>
  <c r="K8" i="19"/>
  <c r="U57" i="19"/>
  <c r="U8" i="19"/>
  <c r="U14" i="11"/>
  <c r="U27" i="11"/>
  <c r="R66" i="31"/>
  <c r="S66" i="31"/>
  <c r="R31" i="31"/>
  <c r="R26" i="31"/>
  <c r="R17" i="31"/>
  <c r="N66" i="31"/>
  <c r="O66" i="31"/>
  <c r="D26" i="31"/>
  <c r="D22" i="11"/>
  <c r="B41" i="11"/>
  <c r="B14" i="11"/>
  <c r="C57" i="19"/>
  <c r="AQ19" i="19"/>
  <c r="AP31" i="31"/>
  <c r="AP36" i="30"/>
  <c r="AN36" i="30"/>
  <c r="AJ36" i="30"/>
  <c r="AJ8" i="30"/>
  <c r="AF36" i="30"/>
  <c r="AD36" i="30"/>
  <c r="AB36" i="30"/>
  <c r="Z36" i="30"/>
  <c r="V31" i="30"/>
  <c r="AV31" i="30"/>
  <c r="AZ31" i="30"/>
  <c r="T36" i="30"/>
  <c r="R36" i="30"/>
  <c r="R12" i="30"/>
  <c r="N36" i="30"/>
  <c r="AR22" i="6"/>
  <c r="Z22" i="6"/>
  <c r="T22" i="6"/>
  <c r="AT66" i="31"/>
  <c r="AT33" i="31"/>
  <c r="AT36" i="30"/>
  <c r="AT10" i="6"/>
  <c r="BA42" i="32"/>
  <c r="AW7" i="32"/>
  <c r="AW8" i="32"/>
  <c r="AW9" i="32"/>
  <c r="AW10" i="32"/>
  <c r="AW11" i="32"/>
  <c r="AW12" i="32"/>
  <c r="BA12" i="32"/>
  <c r="AW13" i="32"/>
  <c r="BA13" i="32"/>
  <c r="AW14" i="32"/>
  <c r="AW15" i="32"/>
  <c r="AW16" i="32"/>
  <c r="AW17" i="32"/>
  <c r="AW18" i="32"/>
  <c r="AW19" i="32"/>
  <c r="AW20" i="32"/>
  <c r="BA20" i="32"/>
  <c r="AW21" i="32"/>
  <c r="BA21" i="32"/>
  <c r="AW22" i="32"/>
  <c r="AW23" i="32"/>
  <c r="AW24" i="32"/>
  <c r="AW25" i="32"/>
  <c r="AW26" i="32"/>
  <c r="AW27" i="32"/>
  <c r="AW28" i="32"/>
  <c r="BA28" i="32"/>
  <c r="AW29" i="32"/>
  <c r="BA29" i="32"/>
  <c r="AW30" i="32"/>
  <c r="AW31" i="32"/>
  <c r="AW32" i="32"/>
  <c r="AW33" i="32"/>
  <c r="AW34" i="32"/>
  <c r="AW35" i="32"/>
  <c r="AW36" i="32"/>
  <c r="BA36" i="32"/>
  <c r="AW37" i="32"/>
  <c r="BA37" i="32"/>
  <c r="AW38" i="32"/>
  <c r="AW39" i="32"/>
  <c r="AW40" i="32"/>
  <c r="AW41" i="32"/>
  <c r="AW42" i="32"/>
  <c r="AV7" i="32"/>
  <c r="AV8" i="32"/>
  <c r="AV9" i="32"/>
  <c r="AV10" i="32"/>
  <c r="AV11" i="32"/>
  <c r="AV12" i="32"/>
  <c r="AV13" i="32"/>
  <c r="AV14" i="32"/>
  <c r="AZ14" i="32"/>
  <c r="AV15" i="32"/>
  <c r="AV16" i="32"/>
  <c r="AV17" i="32"/>
  <c r="AV18" i="32"/>
  <c r="AV19" i="32"/>
  <c r="AV20" i="32"/>
  <c r="AV21" i="32"/>
  <c r="AV22" i="32"/>
  <c r="AZ22" i="32"/>
  <c r="AV23" i="32"/>
  <c r="AV24" i="32"/>
  <c r="AV25" i="32"/>
  <c r="AV26" i="32"/>
  <c r="AV27" i="32"/>
  <c r="AV28" i="32"/>
  <c r="AV29" i="32"/>
  <c r="AV30" i="32"/>
  <c r="AZ30" i="32"/>
  <c r="AV31" i="32"/>
  <c r="AV32" i="32"/>
  <c r="AV33" i="32"/>
  <c r="AV34" i="32"/>
  <c r="AV35" i="32"/>
  <c r="AV36" i="32"/>
  <c r="AV37" i="32"/>
  <c r="AV38" i="32"/>
  <c r="AV39" i="32"/>
  <c r="AV40" i="32"/>
  <c r="AV41" i="32"/>
  <c r="AV42" i="32"/>
  <c r="AW6" i="32"/>
  <c r="AV6" i="32"/>
  <c r="AQ32" i="32"/>
  <c r="AQ25" i="32"/>
  <c r="AQ22" i="32"/>
  <c r="AQ19" i="32"/>
  <c r="AQ13" i="32"/>
  <c r="AO22" i="32"/>
  <c r="AO13" i="32"/>
  <c r="AK32" i="32"/>
  <c r="AK25" i="32"/>
  <c r="AK22" i="32"/>
  <c r="AK19" i="32"/>
  <c r="AK13" i="32"/>
  <c r="AI42" i="32"/>
  <c r="AI32" i="32"/>
  <c r="AI25" i="32"/>
  <c r="AI22" i="32"/>
  <c r="AI19" i="32"/>
  <c r="AI13" i="32"/>
  <c r="AG32" i="32"/>
  <c r="AG25" i="32"/>
  <c r="AG22" i="32"/>
  <c r="AG19" i="32"/>
  <c r="AG13" i="32"/>
  <c r="AC19" i="32"/>
  <c r="AC13" i="32"/>
  <c r="AA32" i="32"/>
  <c r="AA25" i="32"/>
  <c r="AA22" i="32"/>
  <c r="AA19" i="32"/>
  <c r="AA13" i="32"/>
  <c r="Y32" i="32"/>
  <c r="Y25" i="32"/>
  <c r="Y22" i="32"/>
  <c r="Y19" i="32"/>
  <c r="Y13" i="32"/>
  <c r="W32" i="32"/>
  <c r="W25" i="32"/>
  <c r="W22" i="32"/>
  <c r="P10" i="32"/>
  <c r="P20" i="32"/>
  <c r="O13" i="32"/>
  <c r="M32" i="32"/>
  <c r="M25" i="32"/>
  <c r="M22" i="32"/>
  <c r="M13" i="32"/>
  <c r="I32" i="32"/>
  <c r="I25" i="32"/>
  <c r="I22" i="32"/>
  <c r="I19" i="32"/>
  <c r="I13" i="32"/>
  <c r="M19" i="19"/>
  <c r="L22" i="11"/>
  <c r="L14" i="11"/>
  <c r="L17" i="31"/>
  <c r="I31" i="19"/>
  <c r="H27" i="11"/>
  <c r="AY27" i="11"/>
  <c r="AY13" i="11"/>
  <c r="AU27" i="11"/>
  <c r="AU13" i="11"/>
  <c r="AS27" i="11"/>
  <c r="AS13" i="11"/>
  <c r="AQ27" i="11"/>
  <c r="AQ13" i="11"/>
  <c r="AO41" i="11"/>
  <c r="AO27" i="11"/>
  <c r="AO13" i="11"/>
  <c r="AK41" i="11"/>
  <c r="AK27" i="11"/>
  <c r="AK13" i="11"/>
  <c r="AI13" i="11"/>
  <c r="AG27" i="11"/>
  <c r="AG13" i="11"/>
  <c r="AE41" i="11"/>
  <c r="AE13" i="11"/>
  <c r="AC27" i="11"/>
  <c r="AC13" i="11"/>
  <c r="AA41" i="11"/>
  <c r="AA27" i="11"/>
  <c r="Y27" i="11"/>
  <c r="Y13" i="11"/>
  <c r="W41" i="11"/>
  <c r="W13" i="11"/>
  <c r="U41" i="11"/>
  <c r="U13" i="11"/>
  <c r="S41" i="11"/>
  <c r="S27" i="11"/>
  <c r="S13" i="11"/>
  <c r="Q41" i="11"/>
  <c r="Q27" i="11"/>
  <c r="Q13" i="11"/>
  <c r="O41" i="11"/>
  <c r="O13" i="11"/>
  <c r="M41" i="11"/>
  <c r="M27" i="11"/>
  <c r="M13" i="11"/>
  <c r="K41" i="11"/>
  <c r="K13" i="11"/>
  <c r="I27" i="11"/>
  <c r="I13" i="11"/>
  <c r="E41" i="11"/>
  <c r="E27" i="11"/>
  <c r="E13" i="11"/>
  <c r="C41" i="11"/>
  <c r="C27" i="11"/>
  <c r="C13" i="11"/>
  <c r="AW36" i="11"/>
  <c r="BA36" i="11"/>
  <c r="H36" i="30"/>
  <c r="H27" i="6"/>
  <c r="G17" i="19"/>
  <c r="H17" i="19"/>
  <c r="G23" i="31"/>
  <c r="F23" i="31"/>
  <c r="F19" i="31"/>
  <c r="G19" i="31"/>
  <c r="G18" i="31"/>
  <c r="AW18" i="31"/>
  <c r="BA18" i="31"/>
  <c r="F18" i="31"/>
  <c r="Y16" i="33"/>
  <c r="AA16" i="33"/>
  <c r="K5" i="31"/>
  <c r="AW60" i="31"/>
  <c r="BA60" i="31" s="1"/>
  <c r="AW52" i="31"/>
  <c r="BA52" i="31"/>
  <c r="AW36" i="31"/>
  <c r="BA36" i="31"/>
  <c r="AW28" i="31"/>
  <c r="BA28" i="31" s="1"/>
  <c r="AW20" i="31"/>
  <c r="BA20" i="31"/>
  <c r="AW12" i="31"/>
  <c r="BA12" i="31"/>
  <c r="Y15" i="33"/>
  <c r="AA15" i="33"/>
  <c r="Y14" i="33"/>
  <c r="AA14" i="33"/>
  <c r="Y13" i="33"/>
  <c r="AA13" i="33"/>
  <c r="Y12" i="33"/>
  <c r="AA12" i="33"/>
  <c r="Y11" i="33"/>
  <c r="AA11" i="33"/>
  <c r="Y10" i="33"/>
  <c r="AA10" i="33"/>
  <c r="Y9" i="33"/>
  <c r="AA9" i="33"/>
  <c r="Y8" i="33"/>
  <c r="AA8" i="33"/>
  <c r="Y7" i="33"/>
  <c r="AA7" i="33"/>
  <c r="Y6" i="33"/>
  <c r="AA6" i="33"/>
  <c r="Y5" i="33"/>
  <c r="AA5" i="33"/>
  <c r="BA35" i="32"/>
  <c r="BA38" i="32"/>
  <c r="BA39" i="32"/>
  <c r="BA40" i="32"/>
  <c r="BA41" i="32"/>
  <c r="BA7" i="32"/>
  <c r="BA8" i="32"/>
  <c r="BA9" i="32"/>
  <c r="BA10" i="32"/>
  <c r="BA11" i="32"/>
  <c r="BA14" i="32"/>
  <c r="BA15" i="32"/>
  <c r="BA16" i="32"/>
  <c r="BA17" i="32"/>
  <c r="BA18" i="32"/>
  <c r="BA19" i="32"/>
  <c r="BA22" i="32"/>
  <c r="BA23" i="32"/>
  <c r="BA24" i="32"/>
  <c r="BA25" i="32"/>
  <c r="BA26" i="32"/>
  <c r="BA27" i="32"/>
  <c r="BA30" i="32"/>
  <c r="BA31" i="32"/>
  <c r="BA32" i="32"/>
  <c r="BA33" i="32"/>
  <c r="BA34" i="32"/>
  <c r="BA6" i="32"/>
  <c r="AZ27" i="32"/>
  <c r="AY20" i="32"/>
  <c r="AX20" i="32"/>
  <c r="AY10" i="32"/>
  <c r="AX10" i="32"/>
  <c r="AZ12" i="32"/>
  <c r="AX36" i="30"/>
  <c r="AX15" i="6"/>
  <c r="AX12" i="7"/>
  <c r="AF12" i="22"/>
  <c r="AF14" i="22"/>
  <c r="K32" i="32"/>
  <c r="K25" i="32"/>
  <c r="K22" i="32"/>
  <c r="K19" i="32"/>
  <c r="J36" i="30"/>
  <c r="C32" i="32"/>
  <c r="C25" i="32"/>
  <c r="C42" i="32"/>
  <c r="C22" i="32"/>
  <c r="C19" i="32"/>
  <c r="C13" i="32"/>
  <c r="AL42" i="32"/>
  <c r="F42" i="32"/>
  <c r="AZ33" i="32"/>
  <c r="AT32" i="32"/>
  <c r="AT42" i="32"/>
  <c r="AP32" i="32"/>
  <c r="AP42" i="32"/>
  <c r="AH32" i="32"/>
  <c r="AH42" i="32"/>
  <c r="N32" i="32"/>
  <c r="N42" i="32"/>
  <c r="L32" i="32"/>
  <c r="L42" i="32"/>
  <c r="J32" i="32"/>
  <c r="J42" i="32"/>
  <c r="AZ29" i="32"/>
  <c r="AZ28" i="32"/>
  <c r="AZ26" i="32"/>
  <c r="AT25" i="32"/>
  <c r="AP25" i="32"/>
  <c r="AH25" i="32"/>
  <c r="N25" i="32"/>
  <c r="L25" i="32"/>
  <c r="J25" i="32"/>
  <c r="B25" i="32"/>
  <c r="B32" i="32"/>
  <c r="AZ24" i="32"/>
  <c r="AZ23" i="32"/>
  <c r="AT22" i="32"/>
  <c r="AP22" i="32"/>
  <c r="AH22" i="32"/>
  <c r="P22" i="32"/>
  <c r="P25" i="32"/>
  <c r="P32" i="32"/>
  <c r="P42" i="32"/>
  <c r="N22" i="32"/>
  <c r="L22" i="32"/>
  <c r="J22" i="32"/>
  <c r="D22" i="32"/>
  <c r="D25" i="32"/>
  <c r="D32" i="32"/>
  <c r="D42" i="32"/>
  <c r="B22" i="32"/>
  <c r="AT19" i="32"/>
  <c r="AH19" i="32"/>
  <c r="P19" i="32"/>
  <c r="J19" i="32"/>
  <c r="H19" i="32"/>
  <c r="H22" i="32"/>
  <c r="B19" i="32"/>
  <c r="AZ18" i="32"/>
  <c r="AZ17" i="32"/>
  <c r="AZ16" i="32"/>
  <c r="AZ15" i="32"/>
  <c r="AT13" i="32"/>
  <c r="AR13" i="32"/>
  <c r="AR19" i="32"/>
  <c r="AR22" i="32"/>
  <c r="AR25" i="32"/>
  <c r="AR32" i="32"/>
  <c r="AR42" i="32"/>
  <c r="AP13" i="32"/>
  <c r="AN13" i="32"/>
  <c r="AN22" i="32"/>
  <c r="AN25" i="32"/>
  <c r="AN32" i="32"/>
  <c r="AN42" i="32"/>
  <c r="AJ13" i="32"/>
  <c r="AJ19" i="32"/>
  <c r="AJ22" i="32"/>
  <c r="AJ25" i="32"/>
  <c r="AJ32" i="32"/>
  <c r="AJ42" i="32"/>
  <c r="AH13" i="32"/>
  <c r="AF13" i="32"/>
  <c r="AF19" i="32"/>
  <c r="AF22" i="32"/>
  <c r="AF25" i="32"/>
  <c r="AF32" i="32"/>
  <c r="AF42" i="32"/>
  <c r="AD13" i="32"/>
  <c r="AD22" i="32"/>
  <c r="AD25" i="32"/>
  <c r="AD32" i="32"/>
  <c r="AD42" i="32"/>
  <c r="AB13" i="32"/>
  <c r="AB19" i="32"/>
  <c r="AB22" i="32"/>
  <c r="AB25" i="32"/>
  <c r="AB32" i="32"/>
  <c r="AB42" i="32"/>
  <c r="Z13" i="32"/>
  <c r="Z19" i="32"/>
  <c r="Z22" i="32"/>
  <c r="Z25" i="32"/>
  <c r="Z32" i="32"/>
  <c r="Z42" i="32"/>
  <c r="X13" i="32"/>
  <c r="X19" i="32"/>
  <c r="V13" i="32"/>
  <c r="V22" i="32"/>
  <c r="V25" i="32"/>
  <c r="V32" i="32"/>
  <c r="V42" i="32"/>
  <c r="T13" i="32"/>
  <c r="T22" i="32"/>
  <c r="R13" i="32"/>
  <c r="R22" i="32"/>
  <c r="R25" i="32"/>
  <c r="R32" i="32"/>
  <c r="R42" i="32"/>
  <c r="N13" i="32"/>
  <c r="L13" i="32"/>
  <c r="J13" i="32"/>
  <c r="H13" i="32"/>
  <c r="D13" i="32"/>
  <c r="B13" i="32"/>
  <c r="AZ13" i="32"/>
  <c r="AZ11" i="32"/>
  <c r="AZ9" i="32"/>
  <c r="AZ8" i="32"/>
  <c r="AZ7" i="32"/>
  <c r="AZ6" i="32"/>
  <c r="X11" i="2"/>
  <c r="X11" i="1"/>
  <c r="X12" i="1"/>
  <c r="X14" i="1"/>
  <c r="I28" i="7"/>
  <c r="H28" i="7"/>
  <c r="B10" i="6"/>
  <c r="B34" i="6"/>
  <c r="B36" i="6"/>
  <c r="D14" i="22"/>
  <c r="F14" i="22"/>
  <c r="H14" i="22"/>
  <c r="AX14" i="22"/>
  <c r="AT14" i="22"/>
  <c r="AR14" i="22"/>
  <c r="AP14" i="22"/>
  <c r="AN14" i="22"/>
  <c r="AL14" i="22"/>
  <c r="AJ14" i="22"/>
  <c r="AH14" i="22"/>
  <c r="AD14" i="22"/>
  <c r="AB14" i="22"/>
  <c r="Z14" i="22"/>
  <c r="X14" i="22"/>
  <c r="V14" i="22"/>
  <c r="T14" i="22"/>
  <c r="R14" i="22"/>
  <c r="P14" i="22"/>
  <c r="J14" i="22"/>
  <c r="L14" i="22"/>
  <c r="N14" i="22"/>
  <c r="B14" i="22"/>
  <c r="AV13" i="22"/>
  <c r="AZ13" i="22"/>
  <c r="AV11" i="22"/>
  <c r="AZ11" i="22"/>
  <c r="AV10" i="22"/>
  <c r="AZ10" i="22"/>
  <c r="AV9" i="22"/>
  <c r="AV8" i="22"/>
  <c r="AZ8" i="22"/>
  <c r="AV7" i="22"/>
  <c r="AZ7" i="22"/>
  <c r="AV6" i="22"/>
  <c r="AZ6" i="22"/>
  <c r="AV5" i="22"/>
  <c r="AZ5" i="22"/>
  <c r="AV4" i="22"/>
  <c r="AZ9" i="22"/>
  <c r="AZ4" i="22"/>
  <c r="AA15" i="7"/>
  <c r="AA16" i="7"/>
  <c r="BA18" i="30"/>
  <c r="AV6" i="30"/>
  <c r="AZ6" i="30"/>
  <c r="AW6" i="30"/>
  <c r="BA6" i="30"/>
  <c r="AV7" i="30"/>
  <c r="AZ7" i="30"/>
  <c r="AW7" i="30"/>
  <c r="BA7" i="30"/>
  <c r="AV8" i="30"/>
  <c r="AZ8" i="30"/>
  <c r="AW8" i="30"/>
  <c r="BA8" i="30"/>
  <c r="AV9" i="30"/>
  <c r="AZ9" i="30"/>
  <c r="AW9" i="30"/>
  <c r="BA9" i="30"/>
  <c r="AV10" i="30"/>
  <c r="AZ10" i="30"/>
  <c r="AW10" i="30"/>
  <c r="BA10" i="30"/>
  <c r="AV11" i="30"/>
  <c r="AZ11" i="30"/>
  <c r="AW11" i="30"/>
  <c r="BA11" i="30"/>
  <c r="AV12" i="30"/>
  <c r="AZ12" i="30"/>
  <c r="AW12" i="30"/>
  <c r="BA12" i="30"/>
  <c r="AV13" i="30"/>
  <c r="AZ13" i="30"/>
  <c r="AW13" i="30"/>
  <c r="BA13" i="30"/>
  <c r="AV14" i="30"/>
  <c r="AZ14" i="30"/>
  <c r="AW14" i="30"/>
  <c r="BA14" i="30"/>
  <c r="AV15" i="30"/>
  <c r="AZ15" i="30"/>
  <c r="AW15" i="30"/>
  <c r="BA15" i="30"/>
  <c r="AV16" i="30"/>
  <c r="AZ16" i="30"/>
  <c r="AW16" i="30"/>
  <c r="BA16" i="30"/>
  <c r="AV17" i="30"/>
  <c r="AZ17" i="30"/>
  <c r="AW17" i="30"/>
  <c r="BA17" i="30"/>
  <c r="AV18" i="30"/>
  <c r="AZ18" i="30"/>
  <c r="AW18" i="30"/>
  <c r="AV19" i="30"/>
  <c r="AZ19" i="30"/>
  <c r="AW19" i="30"/>
  <c r="BA19" i="30"/>
  <c r="AV20" i="30"/>
  <c r="AZ20" i="30"/>
  <c r="AW20" i="30"/>
  <c r="BA20" i="30"/>
  <c r="AV21" i="30"/>
  <c r="AZ21" i="30"/>
  <c r="AW21" i="30"/>
  <c r="BA21" i="30"/>
  <c r="AV22" i="30"/>
  <c r="AZ22" i="30"/>
  <c r="AW22" i="30"/>
  <c r="BA22" i="30"/>
  <c r="AV23" i="30"/>
  <c r="AZ23" i="30"/>
  <c r="AW23" i="30"/>
  <c r="BA23" i="30"/>
  <c r="AV24" i="30"/>
  <c r="AZ24" i="30"/>
  <c r="AW24" i="30"/>
  <c r="BA24" i="30"/>
  <c r="AV25" i="30"/>
  <c r="AZ25" i="30"/>
  <c r="AW25" i="30"/>
  <c r="BA25" i="30"/>
  <c r="AV26" i="30"/>
  <c r="AZ26" i="30"/>
  <c r="AW26" i="30"/>
  <c r="BA26" i="30"/>
  <c r="AV27" i="30"/>
  <c r="AZ27" i="30"/>
  <c r="AW27" i="30"/>
  <c r="BA27" i="30"/>
  <c r="AV28" i="30"/>
  <c r="AZ28" i="30"/>
  <c r="AW28" i="30"/>
  <c r="BA28" i="30"/>
  <c r="AV29" i="30"/>
  <c r="AZ29" i="30"/>
  <c r="AW29" i="30"/>
  <c r="BA29" i="30"/>
  <c r="AV30" i="30"/>
  <c r="AZ30" i="30"/>
  <c r="AW30" i="30"/>
  <c r="BA30" i="30"/>
  <c r="AW31" i="30"/>
  <c r="BA31" i="30"/>
  <c r="AV32" i="30"/>
  <c r="AZ32" i="30"/>
  <c r="AW32" i="30"/>
  <c r="BA32" i="30"/>
  <c r="AV33" i="30"/>
  <c r="AZ33" i="30"/>
  <c r="AW33" i="30"/>
  <c r="BA33" i="30"/>
  <c r="AV34" i="30"/>
  <c r="AZ34" i="30"/>
  <c r="AW34" i="30"/>
  <c r="BA34" i="30"/>
  <c r="AV35" i="30"/>
  <c r="AZ35" i="30"/>
  <c r="AW35" i="30"/>
  <c r="BA35" i="30"/>
  <c r="AW36" i="30"/>
  <c r="BA36" i="30"/>
  <c r="AV37" i="30"/>
  <c r="AZ37" i="30"/>
  <c r="AW37" i="30"/>
  <c r="BA37" i="30"/>
  <c r="AW5" i="30"/>
  <c r="BA5" i="30"/>
  <c r="AV5" i="30"/>
  <c r="AZ5" i="30"/>
  <c r="AT38" i="30"/>
  <c r="AG38" i="30"/>
  <c r="X38" i="30"/>
  <c r="AW66" i="31"/>
  <c r="BA66" i="31" s="1"/>
  <c r="AU5" i="31"/>
  <c r="AQ50" i="31"/>
  <c r="AO50" i="31"/>
  <c r="AW67" i="31"/>
  <c r="BA67" i="31" s="1"/>
  <c r="AV67" i="31"/>
  <c r="AZ67" i="31" s="1"/>
  <c r="AV66" i="31"/>
  <c r="AZ66" i="31" s="1"/>
  <c r="AW65" i="31"/>
  <c r="BA65" i="31" s="1"/>
  <c r="AV65" i="31"/>
  <c r="AZ65" i="31" s="1"/>
  <c r="AW64" i="31"/>
  <c r="BA64" i="31"/>
  <c r="AV64" i="31"/>
  <c r="AZ64" i="31"/>
  <c r="AW63" i="31"/>
  <c r="BA63" i="31" s="1"/>
  <c r="AV63" i="31"/>
  <c r="AZ63" i="31" s="1"/>
  <c r="AW62" i="31"/>
  <c r="BA62" i="31" s="1"/>
  <c r="AV62" i="31"/>
  <c r="AZ62" i="31" s="1"/>
  <c r="AW61" i="31"/>
  <c r="BA61" i="31"/>
  <c r="AV61" i="31"/>
  <c r="AZ61" i="31"/>
  <c r="AV60" i="31"/>
  <c r="AZ60" i="31" s="1"/>
  <c r="AW59" i="31"/>
  <c r="BA59" i="31" s="1"/>
  <c r="AV59" i="31"/>
  <c r="AZ59" i="31" s="1"/>
  <c r="AW58" i="31"/>
  <c r="BA58" i="31"/>
  <c r="AV58" i="31"/>
  <c r="AZ58" i="31"/>
  <c r="AW57" i="31"/>
  <c r="BA57" i="31"/>
  <c r="AV57" i="31"/>
  <c r="AZ57" i="31"/>
  <c r="AW56" i="31"/>
  <c r="BA56" i="31" s="1"/>
  <c r="AV56" i="31"/>
  <c r="AZ56" i="31" s="1"/>
  <c r="AW55" i="31"/>
  <c r="BA55" i="31" s="1"/>
  <c r="AV55" i="31"/>
  <c r="AZ55" i="31"/>
  <c r="AW54" i="31"/>
  <c r="BA54" i="31" s="1"/>
  <c r="AV54" i="31"/>
  <c r="AZ54" i="31" s="1"/>
  <c r="AW53" i="31"/>
  <c r="BA53" i="31"/>
  <c r="AV53" i="31"/>
  <c r="AZ53" i="31"/>
  <c r="AV52" i="31"/>
  <c r="AZ52" i="31"/>
  <c r="AM51" i="31"/>
  <c r="AY50" i="31"/>
  <c r="AY51" i="31" s="1"/>
  <c r="AX50" i="31"/>
  <c r="AX51" i="31" s="1"/>
  <c r="AU50" i="31"/>
  <c r="AT50" i="31"/>
  <c r="AS50" i="31"/>
  <c r="AR50" i="31"/>
  <c r="AP50" i="31"/>
  <c r="AN50" i="31"/>
  <c r="AM50" i="31"/>
  <c r="AL50" i="31"/>
  <c r="AK50" i="31"/>
  <c r="AJ50" i="31"/>
  <c r="AI50" i="31"/>
  <c r="AH50" i="31"/>
  <c r="AG50" i="31"/>
  <c r="AF50" i="31"/>
  <c r="AF51" i="31" s="1"/>
  <c r="AE50" i="31"/>
  <c r="AD50" i="31"/>
  <c r="AC50" i="31"/>
  <c r="AB50" i="31"/>
  <c r="AA50" i="31"/>
  <c r="Z50" i="31"/>
  <c r="Y50" i="31"/>
  <c r="X50" i="31"/>
  <c r="X51" i="31"/>
  <c r="W50" i="31"/>
  <c r="V50" i="31"/>
  <c r="U50" i="31"/>
  <c r="T50" i="31"/>
  <c r="S50" i="31"/>
  <c r="R50" i="31"/>
  <c r="Q50" i="31"/>
  <c r="P50" i="31"/>
  <c r="O50" i="31"/>
  <c r="N50" i="31"/>
  <c r="M50" i="31"/>
  <c r="L50" i="31"/>
  <c r="K50" i="31"/>
  <c r="J50" i="31"/>
  <c r="H50" i="31"/>
  <c r="G50" i="31"/>
  <c r="F50" i="31"/>
  <c r="E50" i="31"/>
  <c r="C50" i="31"/>
  <c r="B50" i="31"/>
  <c r="BA49" i="31"/>
  <c r="AZ49" i="31"/>
  <c r="BA48" i="31"/>
  <c r="AZ48" i="31"/>
  <c r="AU47" i="31"/>
  <c r="AT47" i="31"/>
  <c r="AS47" i="31"/>
  <c r="AR47" i="31"/>
  <c r="AQ47" i="31"/>
  <c r="AQ51" i="31"/>
  <c r="AP47" i="31"/>
  <c r="AO47" i="31"/>
  <c r="AN47" i="31"/>
  <c r="AM47" i="31"/>
  <c r="AL47" i="31"/>
  <c r="AL51" i="31"/>
  <c r="AK47" i="31"/>
  <c r="AJ47" i="31"/>
  <c r="AI47" i="31"/>
  <c r="AH47" i="31"/>
  <c r="AG47" i="31"/>
  <c r="AE47" i="31"/>
  <c r="AE51" i="31"/>
  <c r="AD47" i="31"/>
  <c r="AC47" i="31"/>
  <c r="AC51" i="31"/>
  <c r="AB47" i="31"/>
  <c r="AA47" i="31"/>
  <c r="AA51" i="31"/>
  <c r="Z47" i="31"/>
  <c r="Y47" i="31"/>
  <c r="W47" i="31"/>
  <c r="V47" i="31"/>
  <c r="U47" i="31"/>
  <c r="T47" i="31"/>
  <c r="S47" i="31"/>
  <c r="S51" i="31"/>
  <c r="R47" i="31"/>
  <c r="Q47" i="31"/>
  <c r="Q51" i="31"/>
  <c r="P47" i="31"/>
  <c r="O47" i="31"/>
  <c r="O51" i="31"/>
  <c r="N47" i="31"/>
  <c r="M47" i="31"/>
  <c r="L47" i="31"/>
  <c r="K47" i="31"/>
  <c r="K51" i="31"/>
  <c r="J47" i="31"/>
  <c r="J51" i="31"/>
  <c r="H47" i="31"/>
  <c r="G47" i="31"/>
  <c r="G51" i="31"/>
  <c r="F47" i="31"/>
  <c r="F51" i="31"/>
  <c r="E47" i="31"/>
  <c r="D47" i="31"/>
  <c r="D51" i="31"/>
  <c r="C47" i="31"/>
  <c r="B47" i="31"/>
  <c r="BA46" i="31"/>
  <c r="AZ46" i="31"/>
  <c r="BA45" i="31"/>
  <c r="AZ45" i="31"/>
  <c r="BA44" i="31"/>
  <c r="AZ44" i="31"/>
  <c r="AW43" i="31"/>
  <c r="BA43" i="31"/>
  <c r="AV43" i="31"/>
  <c r="AZ43" i="31"/>
  <c r="AW42" i="31"/>
  <c r="BA42" i="31" s="1"/>
  <c r="AV42" i="31"/>
  <c r="AZ42" i="31" s="1"/>
  <c r="AW41" i="31"/>
  <c r="BA41" i="31" s="1"/>
  <c r="AV41" i="31"/>
  <c r="AZ41" i="31" s="1"/>
  <c r="AW40" i="31"/>
  <c r="BA40" i="31" s="1"/>
  <c r="AV40" i="31"/>
  <c r="AZ40" i="31" s="1"/>
  <c r="AW39" i="31"/>
  <c r="BA39" i="31" s="1"/>
  <c r="AV39" i="31"/>
  <c r="AZ39" i="31" s="1"/>
  <c r="AW38" i="31"/>
  <c r="BA38" i="31" s="1"/>
  <c r="AV38" i="31"/>
  <c r="AZ38" i="31" s="1"/>
  <c r="AW37" i="31"/>
  <c r="BA37" i="31"/>
  <c r="AV37" i="31"/>
  <c r="AZ37" i="31"/>
  <c r="AV36" i="31"/>
  <c r="AZ36" i="31"/>
  <c r="AW35" i="31"/>
  <c r="BA35" i="31" s="1"/>
  <c r="AV35" i="31"/>
  <c r="AZ35" i="31" s="1"/>
  <c r="AW34" i="31"/>
  <c r="BA34" i="31" s="1"/>
  <c r="AV34" i="31"/>
  <c r="AZ34" i="31" s="1"/>
  <c r="AW33" i="31"/>
  <c r="BA33" i="31"/>
  <c r="AV33" i="31"/>
  <c r="AZ33" i="31"/>
  <c r="AW32" i="31"/>
  <c r="BA32" i="31"/>
  <c r="AV32" i="31"/>
  <c r="AZ32" i="31"/>
  <c r="AW31" i="31"/>
  <c r="BA31" i="31" s="1"/>
  <c r="AV31" i="31"/>
  <c r="AZ31" i="31" s="1"/>
  <c r="AW30" i="31"/>
  <c r="BA30" i="31"/>
  <c r="AV30" i="31"/>
  <c r="AZ30" i="31"/>
  <c r="AW29" i="31"/>
  <c r="BA29" i="31"/>
  <c r="AV29" i="31"/>
  <c r="AZ29" i="31"/>
  <c r="AV28" i="31"/>
  <c r="AZ28" i="31" s="1"/>
  <c r="AW27" i="31"/>
  <c r="BA27" i="31" s="1"/>
  <c r="AV27" i="31"/>
  <c r="AZ27" i="31" s="1"/>
  <c r="AV26" i="31"/>
  <c r="AZ26" i="31" s="1"/>
  <c r="AW26" i="31"/>
  <c r="BA26" i="31" s="1"/>
  <c r="AW25" i="31"/>
  <c r="BA25" i="31"/>
  <c r="AV25" i="31"/>
  <c r="AZ25" i="31"/>
  <c r="AW24" i="31"/>
  <c r="BA24" i="31" s="1"/>
  <c r="AV24" i="31"/>
  <c r="AZ24" i="31" s="1"/>
  <c r="AW23" i="31"/>
  <c r="BA23" i="31" s="1"/>
  <c r="AW22" i="31"/>
  <c r="BA22" i="31"/>
  <c r="AV22" i="31"/>
  <c r="AZ22" i="31"/>
  <c r="AW21" i="31"/>
  <c r="BA21" i="31"/>
  <c r="AV21" i="31"/>
  <c r="AZ21" i="31"/>
  <c r="AV20" i="31"/>
  <c r="AZ20" i="31"/>
  <c r="AW19" i="31"/>
  <c r="BA19" i="31"/>
  <c r="AV19" i="31"/>
  <c r="AZ19" i="31"/>
  <c r="AV18" i="31"/>
  <c r="AZ18" i="31"/>
  <c r="AV17" i="31"/>
  <c r="AZ17" i="31" s="1"/>
  <c r="AW17" i="31"/>
  <c r="BA17" i="31" s="1"/>
  <c r="AW16" i="31"/>
  <c r="BA16" i="31"/>
  <c r="AV16" i="31"/>
  <c r="AZ16" i="31"/>
  <c r="AW15" i="31"/>
  <c r="BA15" i="31"/>
  <c r="AV15" i="31"/>
  <c r="AZ15" i="31"/>
  <c r="AW14" i="31"/>
  <c r="BA14" i="31"/>
  <c r="AV14" i="31"/>
  <c r="AZ14" i="31"/>
  <c r="AW13" i="31"/>
  <c r="BA13" i="31" s="1"/>
  <c r="AV13" i="31"/>
  <c r="AZ13" i="31" s="1"/>
  <c r="AV12" i="31"/>
  <c r="AZ12" i="31"/>
  <c r="AV11" i="31"/>
  <c r="AZ11" i="31" s="1"/>
  <c r="AC11" i="31"/>
  <c r="AW11" i="31"/>
  <c r="BA11" i="31"/>
  <c r="AY10" i="31"/>
  <c r="AX10" i="31"/>
  <c r="AU10" i="31"/>
  <c r="AT10" i="31"/>
  <c r="AS10" i="31"/>
  <c r="AR10" i="31"/>
  <c r="AQ10" i="31"/>
  <c r="AP10" i="31"/>
  <c r="AO10" i="31"/>
  <c r="AN10" i="31"/>
  <c r="AM10" i="31"/>
  <c r="AL10" i="31"/>
  <c r="AK10" i="31"/>
  <c r="AJ10" i="31"/>
  <c r="AH10" i="31"/>
  <c r="AG10" i="31"/>
  <c r="AF10" i="31"/>
  <c r="AE10" i="31"/>
  <c r="AD10" i="31"/>
  <c r="AC10" i="31"/>
  <c r="AB10" i="31"/>
  <c r="Z10" i="31"/>
  <c r="Y10" i="31"/>
  <c r="X10" i="31"/>
  <c r="W10" i="31"/>
  <c r="V10" i="31"/>
  <c r="U10" i="31"/>
  <c r="T10" i="31"/>
  <c r="R10" i="31"/>
  <c r="P10" i="31"/>
  <c r="O10" i="31"/>
  <c r="M10" i="31"/>
  <c r="L10" i="31"/>
  <c r="K10" i="31"/>
  <c r="J10" i="31"/>
  <c r="H10" i="31"/>
  <c r="G10" i="31"/>
  <c r="F10" i="31"/>
  <c r="E10" i="31"/>
  <c r="D10" i="31"/>
  <c r="C10" i="31"/>
  <c r="B10" i="31"/>
  <c r="AW8" i="31"/>
  <c r="BA8" i="31" s="1"/>
  <c r="AV8" i="31"/>
  <c r="AZ8" i="31" s="1"/>
  <c r="AW7" i="31"/>
  <c r="BA7" i="31" s="1"/>
  <c r="AV7" i="31"/>
  <c r="AZ7" i="31" s="1"/>
  <c r="AW6" i="31"/>
  <c r="BA6" i="31"/>
  <c r="AV6" i="31"/>
  <c r="AZ6" i="31"/>
  <c r="AV5" i="31"/>
  <c r="AZ5" i="31" s="1"/>
  <c r="AI5" i="31"/>
  <c r="AI10" i="31"/>
  <c r="AA5" i="31"/>
  <c r="AA10" i="31"/>
  <c r="S5" i="31"/>
  <c r="S10" i="31"/>
  <c r="AR27" i="11"/>
  <c r="AH27" i="11"/>
  <c r="AV12" i="11"/>
  <c r="AZ12" i="11" s="1"/>
  <c r="X27" i="11"/>
  <c r="N27" i="11"/>
  <c r="L27" i="11"/>
  <c r="J41" i="11"/>
  <c r="B27" i="11"/>
  <c r="AN41" i="11"/>
  <c r="AM41" i="11"/>
  <c r="AL41" i="11"/>
  <c r="AJ41" i="11"/>
  <c r="T41" i="11"/>
  <c r="R41" i="11"/>
  <c r="P41" i="11"/>
  <c r="N41" i="11"/>
  <c r="L41" i="11"/>
  <c r="G41" i="11"/>
  <c r="F41" i="11"/>
  <c r="D41" i="11"/>
  <c r="AW39" i="11"/>
  <c r="BA39" i="11"/>
  <c r="AV39" i="11"/>
  <c r="AZ39" i="11" s="1"/>
  <c r="AW38" i="11"/>
  <c r="BA38" i="11"/>
  <c r="AV38" i="11"/>
  <c r="AZ38" i="11"/>
  <c r="AW37" i="11"/>
  <c r="BA37" i="11"/>
  <c r="AV37" i="11"/>
  <c r="AZ37" i="11" s="1"/>
  <c r="AV36" i="11"/>
  <c r="AZ36" i="11"/>
  <c r="AW35" i="11"/>
  <c r="BA35" i="11" s="1"/>
  <c r="AV35" i="11"/>
  <c r="AZ35" i="11" s="1"/>
  <c r="AW34" i="11"/>
  <c r="BA34" i="11"/>
  <c r="AV34" i="11"/>
  <c r="AZ34" i="11"/>
  <c r="AW33" i="11"/>
  <c r="BA33" i="11" s="1"/>
  <c r="AV33" i="11"/>
  <c r="AZ33" i="11" s="1"/>
  <c r="AW32" i="11"/>
  <c r="BA32" i="11"/>
  <c r="AV32" i="11"/>
  <c r="AZ32" i="11" s="1"/>
  <c r="AW31" i="11"/>
  <c r="BA31" i="11" s="1"/>
  <c r="AV31" i="11"/>
  <c r="AZ31" i="11" s="1"/>
  <c r="AW29" i="11"/>
  <c r="BA29" i="11"/>
  <c r="AV29" i="11"/>
  <c r="AZ29" i="11" s="1"/>
  <c r="AW28" i="11"/>
  <c r="BA28" i="11" s="1"/>
  <c r="AV28" i="11"/>
  <c r="AZ28" i="11" s="1"/>
  <c r="AX27" i="11"/>
  <c r="AT27" i="11"/>
  <c r="AP27" i="11"/>
  <c r="AN27" i="11"/>
  <c r="AM27" i="11"/>
  <c r="AL27" i="11"/>
  <c r="AD27" i="11"/>
  <c r="AB27" i="11"/>
  <c r="Z27" i="11"/>
  <c r="T27" i="11"/>
  <c r="R27" i="11"/>
  <c r="P27" i="11"/>
  <c r="G27" i="11"/>
  <c r="F27" i="11"/>
  <c r="D27" i="11"/>
  <c r="AW25" i="11"/>
  <c r="BA25" i="11"/>
  <c r="AV25" i="11"/>
  <c r="AZ25" i="11" s="1"/>
  <c r="AW24" i="11"/>
  <c r="BA24" i="11" s="1"/>
  <c r="AV24" i="11"/>
  <c r="AZ24" i="11" s="1"/>
  <c r="AW23" i="11"/>
  <c r="BA23" i="11" s="1"/>
  <c r="AV23" i="11"/>
  <c r="AZ23" i="11"/>
  <c r="AV22" i="11"/>
  <c r="AZ22" i="11" s="1"/>
  <c r="AW21" i="11"/>
  <c r="BA21" i="11"/>
  <c r="AV21" i="11"/>
  <c r="AZ21" i="11" s="1"/>
  <c r="AW20" i="11"/>
  <c r="BA20" i="11" s="1"/>
  <c r="AV20" i="11"/>
  <c r="AZ20" i="11" s="1"/>
  <c r="AW19" i="11"/>
  <c r="BA19" i="11" s="1"/>
  <c r="AV19" i="11"/>
  <c r="AZ19" i="11" s="1"/>
  <c r="AF27" i="11"/>
  <c r="AW18" i="11"/>
  <c r="BA18" i="11"/>
  <c r="AV18" i="11"/>
  <c r="AZ18" i="11" s="1"/>
  <c r="AW17" i="11"/>
  <c r="BA17" i="11"/>
  <c r="AV17" i="11"/>
  <c r="AZ17" i="11"/>
  <c r="AW16" i="11"/>
  <c r="BA16" i="11"/>
  <c r="AV16" i="11"/>
  <c r="AZ16" i="11" s="1"/>
  <c r="AW15" i="11"/>
  <c r="BA15" i="11"/>
  <c r="AV15" i="11"/>
  <c r="AZ15" i="11"/>
  <c r="AW14" i="11"/>
  <c r="BA14" i="11" s="1"/>
  <c r="AX13" i="11"/>
  <c r="AT13" i="11"/>
  <c r="AR13" i="11"/>
  <c r="AP13" i="11"/>
  <c r="AN13" i="11"/>
  <c r="AM13" i="11"/>
  <c r="AL13" i="11"/>
  <c r="AJ13" i="11"/>
  <c r="AH13" i="11"/>
  <c r="AF13" i="11"/>
  <c r="AD13" i="11"/>
  <c r="AB13" i="11"/>
  <c r="X13" i="11"/>
  <c r="V13" i="11"/>
  <c r="T13" i="11"/>
  <c r="R13" i="11"/>
  <c r="P13" i="11"/>
  <c r="N13" i="11"/>
  <c r="L13" i="11"/>
  <c r="J13" i="11"/>
  <c r="H13" i="11"/>
  <c r="G13" i="11"/>
  <c r="F13" i="11"/>
  <c r="D13" i="11"/>
  <c r="B13" i="11"/>
  <c r="AW12" i="11"/>
  <c r="BA12" i="11" s="1"/>
  <c r="AW10" i="11"/>
  <c r="BA10" i="11" s="1"/>
  <c r="AV10" i="11"/>
  <c r="AZ10" i="11" s="1"/>
  <c r="AW9" i="11"/>
  <c r="BA9" i="11" s="1"/>
  <c r="AV9" i="11"/>
  <c r="AZ9" i="11" s="1"/>
  <c r="AW8" i="11"/>
  <c r="BA8" i="11" s="1"/>
  <c r="AV8" i="11"/>
  <c r="AZ8" i="11" s="1"/>
  <c r="AW7" i="11"/>
  <c r="BA7" i="11" s="1"/>
  <c r="AV7" i="11"/>
  <c r="AZ7" i="11" s="1"/>
  <c r="AW6" i="11"/>
  <c r="BA6" i="11"/>
  <c r="AV6" i="11"/>
  <c r="AZ6" i="11"/>
  <c r="AW5" i="11"/>
  <c r="BA5" i="11" s="1"/>
  <c r="AV5" i="11"/>
  <c r="AZ5" i="11" s="1"/>
  <c r="AN8" i="19"/>
  <c r="AM8" i="19"/>
  <c r="AW5" i="22"/>
  <c r="BA5" i="22"/>
  <c r="AW6" i="22"/>
  <c r="AW13" i="7"/>
  <c r="BA13" i="7"/>
  <c r="AV13" i="7"/>
  <c r="AZ13" i="7"/>
  <c r="AU38" i="30"/>
  <c r="AS38" i="30"/>
  <c r="AR38" i="30"/>
  <c r="AQ38" i="30"/>
  <c r="AP38" i="30"/>
  <c r="AO38" i="30"/>
  <c r="AN38" i="30"/>
  <c r="AM38" i="30"/>
  <c r="AL38" i="30"/>
  <c r="AK38" i="30"/>
  <c r="AJ38" i="30"/>
  <c r="AI38" i="30"/>
  <c r="AH38" i="30"/>
  <c r="AF38" i="30"/>
  <c r="AE38" i="30"/>
  <c r="AD38" i="30"/>
  <c r="AC38" i="30"/>
  <c r="AB38" i="30"/>
  <c r="AA38" i="30"/>
  <c r="Z38" i="30"/>
  <c r="Y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AY38" i="30"/>
  <c r="AX38" i="30"/>
  <c r="Y11" i="2"/>
  <c r="AQ14" i="22"/>
  <c r="AY34" i="6"/>
  <c r="AY36" i="6"/>
  <c r="AY38" i="6"/>
  <c r="AX34" i="6"/>
  <c r="AX36" i="6"/>
  <c r="AX38" i="6"/>
  <c r="AR34" i="6"/>
  <c r="AR36" i="6"/>
  <c r="AR38" i="6"/>
  <c r="AI9" i="7"/>
  <c r="AE9" i="7"/>
  <c r="AE12" i="7"/>
  <c r="AE14" i="7"/>
  <c r="O9" i="7"/>
  <c r="O12" i="7"/>
  <c r="O14" i="7"/>
  <c r="Q10" i="5"/>
  <c r="Q12" i="5"/>
  <c r="P10" i="5"/>
  <c r="P12" i="5"/>
  <c r="O10" i="5"/>
  <c r="O14" i="5"/>
  <c r="N10" i="5"/>
  <c r="N12" i="5"/>
  <c r="M10" i="5"/>
  <c r="M12" i="5"/>
  <c r="L10" i="5"/>
  <c r="L12" i="5"/>
  <c r="K10" i="5"/>
  <c r="J10" i="5"/>
  <c r="J12" i="5"/>
  <c r="S9" i="7"/>
  <c r="S12" i="7"/>
  <c r="AS9" i="7"/>
  <c r="AS12" i="7"/>
  <c r="AS14" i="7"/>
  <c r="AA9" i="7"/>
  <c r="AA12" i="7"/>
  <c r="AA14" i="7"/>
  <c r="AC9" i="7"/>
  <c r="AC12" i="7"/>
  <c r="AC14" i="7"/>
  <c r="AW7" i="6"/>
  <c r="BA7" i="6"/>
  <c r="AW8" i="6"/>
  <c r="BA8" i="6"/>
  <c r="AW9" i="6"/>
  <c r="AW10" i="6"/>
  <c r="BA10" i="6"/>
  <c r="AW11" i="6"/>
  <c r="BA11" i="6"/>
  <c r="AW12" i="6"/>
  <c r="BA12" i="6"/>
  <c r="AW13" i="6"/>
  <c r="BA13" i="6"/>
  <c r="AW14" i="6"/>
  <c r="BA14" i="6"/>
  <c r="AW15" i="6"/>
  <c r="BA15" i="6"/>
  <c r="AW16" i="6"/>
  <c r="BA16" i="6"/>
  <c r="AW17" i="6"/>
  <c r="BA17" i="6"/>
  <c r="AW18" i="6"/>
  <c r="BA18" i="6"/>
  <c r="AW19" i="6"/>
  <c r="BA19" i="6"/>
  <c r="AW20" i="6"/>
  <c r="BA20" i="6"/>
  <c r="AW21" i="6"/>
  <c r="BA21" i="6"/>
  <c r="AW23" i="6"/>
  <c r="AW24" i="6"/>
  <c r="BA24" i="6"/>
  <c r="AW25" i="6"/>
  <c r="AW26" i="6"/>
  <c r="AW27" i="6"/>
  <c r="BA27" i="6"/>
  <c r="AW28" i="6"/>
  <c r="BA28" i="6"/>
  <c r="AW29" i="6"/>
  <c r="AW30" i="6"/>
  <c r="BA30" i="6"/>
  <c r="AW31" i="6"/>
  <c r="AW6" i="6"/>
  <c r="BA6" i="6"/>
  <c r="C10" i="5"/>
  <c r="C14" i="5"/>
  <c r="D10" i="5"/>
  <c r="D12" i="5"/>
  <c r="E10" i="5"/>
  <c r="F10" i="5"/>
  <c r="G10" i="5"/>
  <c r="G14" i="5"/>
  <c r="B10" i="5"/>
  <c r="B12" i="5"/>
  <c r="AS10" i="5"/>
  <c r="AS14" i="5"/>
  <c r="AT10" i="5"/>
  <c r="AT12" i="5"/>
  <c r="AU10" i="5"/>
  <c r="AU14" i="5"/>
  <c r="AN10" i="5"/>
  <c r="AN14" i="5"/>
  <c r="AO10" i="5"/>
  <c r="AO12" i="5"/>
  <c r="AP10" i="5"/>
  <c r="AP12" i="5"/>
  <c r="AQ10" i="5"/>
  <c r="AQ14" i="5"/>
  <c r="AR10" i="5"/>
  <c r="AR12" i="5"/>
  <c r="AI10" i="5"/>
  <c r="AI12" i="5"/>
  <c r="AJ10" i="5"/>
  <c r="AJ12" i="5"/>
  <c r="AK10" i="5"/>
  <c r="AK14" i="5"/>
  <c r="AL10" i="5"/>
  <c r="AL14" i="5"/>
  <c r="AM10" i="5"/>
  <c r="AM12" i="5"/>
  <c r="AD10" i="5"/>
  <c r="AD12" i="5"/>
  <c r="AE10" i="5"/>
  <c r="AE14" i="5"/>
  <c r="AF10" i="5"/>
  <c r="AF14" i="5"/>
  <c r="AG10" i="5"/>
  <c r="AG14" i="5"/>
  <c r="AH10" i="5"/>
  <c r="AH14" i="5"/>
  <c r="Y10" i="5"/>
  <c r="Y14" i="5"/>
  <c r="Z10" i="5"/>
  <c r="Z12" i="5"/>
  <c r="AA10" i="5"/>
  <c r="AA14" i="5"/>
  <c r="AB10" i="5"/>
  <c r="AB12" i="5"/>
  <c r="AC10" i="5"/>
  <c r="AC14" i="5"/>
  <c r="S10" i="5"/>
  <c r="S12" i="5"/>
  <c r="AW12" i="5"/>
  <c r="T10" i="5"/>
  <c r="T14" i="5"/>
  <c r="U10" i="5"/>
  <c r="U12" i="5"/>
  <c r="V10" i="5"/>
  <c r="V12" i="5"/>
  <c r="W10" i="5"/>
  <c r="W14" i="5"/>
  <c r="X10" i="5"/>
  <c r="X12" i="5"/>
  <c r="R10" i="5"/>
  <c r="R12" i="5"/>
  <c r="I10" i="5"/>
  <c r="I12" i="5"/>
  <c r="H10" i="5"/>
  <c r="H14" i="5"/>
  <c r="Y5" i="23"/>
  <c r="Y6" i="23"/>
  <c r="Y7" i="23"/>
  <c r="C8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Z8" i="23"/>
  <c r="B8" i="23"/>
  <c r="AV7" i="4"/>
  <c r="AZ7" i="4"/>
  <c r="AV13" i="1"/>
  <c r="AZ13" i="1"/>
  <c r="AW13" i="1"/>
  <c r="BA13" i="1"/>
  <c r="AV6" i="1"/>
  <c r="AZ6" i="1"/>
  <c r="AW6" i="1"/>
  <c r="BA6" i="1"/>
  <c r="AV7" i="1"/>
  <c r="AZ7" i="1"/>
  <c r="AW7" i="1"/>
  <c r="BA7" i="1"/>
  <c r="AV8" i="1"/>
  <c r="AZ8" i="1"/>
  <c r="AW8" i="1"/>
  <c r="BA8" i="1"/>
  <c r="AV9" i="1"/>
  <c r="AZ9" i="1"/>
  <c r="AW9" i="1"/>
  <c r="BA9" i="1"/>
  <c r="AV10" i="1"/>
  <c r="AZ10" i="1"/>
  <c r="AW10" i="1"/>
  <c r="BA10" i="1"/>
  <c r="AV11" i="1"/>
  <c r="AZ11" i="1"/>
  <c r="AW5" i="1"/>
  <c r="BA5" i="1"/>
  <c r="AV5" i="1"/>
  <c r="AZ5" i="1"/>
  <c r="AY9" i="7"/>
  <c r="AY12" i="7"/>
  <c r="AY14" i="7"/>
  <c r="AO14" i="22"/>
  <c r="AI12" i="7"/>
  <c r="AI14" i="7"/>
  <c r="I34" i="6"/>
  <c r="I36" i="6"/>
  <c r="I38" i="6"/>
  <c r="C9" i="7"/>
  <c r="C12" i="7"/>
  <c r="C14" i="7"/>
  <c r="AU9" i="7"/>
  <c r="AU12" i="7"/>
  <c r="AU14" i="7"/>
  <c r="AQ9" i="7"/>
  <c r="AQ12" i="7"/>
  <c r="AQ14" i="7"/>
  <c r="AO9" i="7"/>
  <c r="AO12" i="7"/>
  <c r="AO14" i="7"/>
  <c r="AK9" i="7"/>
  <c r="AK12" i="7"/>
  <c r="AK14" i="7"/>
  <c r="AG9" i="7"/>
  <c r="AG12" i="7"/>
  <c r="AG14" i="7"/>
  <c r="Y9" i="7"/>
  <c r="Y12" i="7"/>
  <c r="Y14" i="7"/>
  <c r="W9" i="7"/>
  <c r="W12" i="7"/>
  <c r="W14" i="7"/>
  <c r="U9" i="7"/>
  <c r="U12" i="7"/>
  <c r="U14" i="7"/>
  <c r="Q9" i="7"/>
  <c r="Q12" i="7"/>
  <c r="Q14" i="7"/>
  <c r="G9" i="7"/>
  <c r="G12" i="7"/>
  <c r="G14" i="7"/>
  <c r="E9" i="7"/>
  <c r="E12" i="7"/>
  <c r="AT34" i="6"/>
  <c r="AT36" i="6"/>
  <c r="C34" i="6"/>
  <c r="C36" i="6"/>
  <c r="D34" i="6"/>
  <c r="D36" i="6"/>
  <c r="E34" i="6"/>
  <c r="E36" i="6"/>
  <c r="F34" i="6"/>
  <c r="F36" i="6"/>
  <c r="G34" i="6"/>
  <c r="G36" i="6"/>
  <c r="H34" i="6"/>
  <c r="H36" i="6"/>
  <c r="H38" i="6"/>
  <c r="J34" i="6"/>
  <c r="J36" i="6"/>
  <c r="K34" i="6"/>
  <c r="K36" i="6"/>
  <c r="K38" i="6"/>
  <c r="L34" i="6"/>
  <c r="L36" i="6"/>
  <c r="L38" i="6"/>
  <c r="M34" i="6"/>
  <c r="M36" i="6"/>
  <c r="M38" i="6"/>
  <c r="N34" i="6"/>
  <c r="N36" i="6"/>
  <c r="N38" i="6"/>
  <c r="O34" i="6"/>
  <c r="O36" i="6"/>
  <c r="P34" i="6"/>
  <c r="P36" i="6"/>
  <c r="P38" i="6"/>
  <c r="Q34" i="6"/>
  <c r="Q36" i="6"/>
  <c r="Q38" i="6"/>
  <c r="R34" i="6"/>
  <c r="R36" i="6"/>
  <c r="R38" i="6"/>
  <c r="S34" i="6"/>
  <c r="S36" i="6"/>
  <c r="S38" i="6"/>
  <c r="V34" i="6"/>
  <c r="V36" i="6"/>
  <c r="V38" i="6"/>
  <c r="W34" i="6"/>
  <c r="W36" i="6"/>
  <c r="W38" i="6"/>
  <c r="X34" i="6"/>
  <c r="X38" i="6"/>
  <c r="Y34" i="6"/>
  <c r="Y38" i="6"/>
  <c r="Z34" i="6"/>
  <c r="Z36" i="6"/>
  <c r="Z38" i="6"/>
  <c r="AA34" i="6"/>
  <c r="AA36" i="6"/>
  <c r="AA38" i="6"/>
  <c r="AB34" i="6"/>
  <c r="AB36" i="6"/>
  <c r="AB38" i="6"/>
  <c r="AC34" i="6"/>
  <c r="AC36" i="6"/>
  <c r="AC38" i="6"/>
  <c r="AD34" i="6"/>
  <c r="AD36" i="6"/>
  <c r="AD38" i="6"/>
  <c r="AE34" i="6"/>
  <c r="AE36" i="6"/>
  <c r="AE38" i="6"/>
  <c r="AF34" i="6"/>
  <c r="AF36" i="6"/>
  <c r="AF38" i="6"/>
  <c r="AG34" i="6"/>
  <c r="AG36" i="6"/>
  <c r="AG38" i="6"/>
  <c r="AH34" i="6"/>
  <c r="AH36" i="6"/>
  <c r="AH38" i="6"/>
  <c r="AI34" i="6"/>
  <c r="AI36" i="6"/>
  <c r="AI38" i="6"/>
  <c r="AJ34" i="6"/>
  <c r="AJ36" i="6"/>
  <c r="AJ38" i="6"/>
  <c r="AK34" i="6"/>
  <c r="AK36" i="6"/>
  <c r="AK38" i="6"/>
  <c r="AL34" i="6"/>
  <c r="AL36" i="6"/>
  <c r="AL38" i="6"/>
  <c r="AM34" i="6"/>
  <c r="AM36" i="6"/>
  <c r="AM38" i="6"/>
  <c r="AN34" i="6"/>
  <c r="AN36" i="6"/>
  <c r="AN38" i="6"/>
  <c r="AO34" i="6"/>
  <c r="AO36" i="6"/>
  <c r="AO38" i="6"/>
  <c r="AP34" i="6"/>
  <c r="AP36" i="6"/>
  <c r="AP38" i="6"/>
  <c r="AQ34" i="6"/>
  <c r="AQ36" i="6"/>
  <c r="AQ38" i="6"/>
  <c r="M9" i="7"/>
  <c r="M12" i="7"/>
  <c r="M14" i="7"/>
  <c r="K9" i="7"/>
  <c r="K12" i="7"/>
  <c r="K14" i="7"/>
  <c r="I9" i="7"/>
  <c r="I12" i="7"/>
  <c r="I14" i="7"/>
  <c r="AW8" i="4"/>
  <c r="BA8" i="4"/>
  <c r="AW15" i="4"/>
  <c r="BA15" i="4"/>
  <c r="AM10" i="7"/>
  <c r="AM11" i="7"/>
  <c r="AM15" i="7"/>
  <c r="AM16" i="7"/>
  <c r="AM17" i="7"/>
  <c r="AW17" i="7"/>
  <c r="BA17" i="7"/>
  <c r="AM18" i="7"/>
  <c r="AW18" i="7"/>
  <c r="BA18" i="7"/>
  <c r="AM19" i="7"/>
  <c r="AW19" i="7"/>
  <c r="BA19" i="7"/>
  <c r="AM20" i="7"/>
  <c r="AW20" i="7"/>
  <c r="BA20" i="7"/>
  <c r="AM21" i="7"/>
  <c r="AW21" i="7"/>
  <c r="BA21" i="7"/>
  <c r="AM22" i="7"/>
  <c r="AW22" i="7"/>
  <c r="BA22" i="7"/>
  <c r="AM23" i="7"/>
  <c r="AW23" i="7"/>
  <c r="BA23" i="7"/>
  <c r="AM24" i="7"/>
  <c r="AW24" i="7"/>
  <c r="BA24" i="7"/>
  <c r="AM25" i="7"/>
  <c r="AW25" i="7"/>
  <c r="BA25" i="7"/>
  <c r="AM26" i="7"/>
  <c r="AM27" i="7"/>
  <c r="AW8" i="3"/>
  <c r="BA8" i="3"/>
  <c r="AW9" i="3"/>
  <c r="BA9" i="3"/>
  <c r="AW14" i="3"/>
  <c r="BA14" i="3"/>
  <c r="AW9" i="4"/>
  <c r="BA9" i="4"/>
  <c r="AW11" i="4"/>
  <c r="BA11" i="4"/>
  <c r="AW14" i="4"/>
  <c r="BA14" i="4"/>
  <c r="AW5" i="4"/>
  <c r="BA5" i="4"/>
  <c r="AI12" i="1"/>
  <c r="AI14" i="1"/>
  <c r="AI10" i="7"/>
  <c r="AI11" i="7"/>
  <c r="AI15" i="7"/>
  <c r="AI16" i="7"/>
  <c r="AI28" i="7"/>
  <c r="AY10" i="7"/>
  <c r="AY15" i="7"/>
  <c r="AY16" i="7"/>
  <c r="AU10" i="7"/>
  <c r="AU28" i="7"/>
  <c r="AS10" i="7"/>
  <c r="AS11" i="7"/>
  <c r="AS15" i="7"/>
  <c r="AS16" i="7"/>
  <c r="AS28" i="7"/>
  <c r="AQ10" i="7"/>
  <c r="AQ11" i="7"/>
  <c r="AQ15" i="7"/>
  <c r="AQ16" i="7"/>
  <c r="AQ28" i="7"/>
  <c r="AO10" i="7"/>
  <c r="AO11" i="7"/>
  <c r="AO15" i="7"/>
  <c r="AO16" i="7"/>
  <c r="AO28" i="7"/>
  <c r="AK10" i="7"/>
  <c r="AK11" i="7"/>
  <c r="AK15" i="7"/>
  <c r="AK16" i="7"/>
  <c r="AG10" i="7"/>
  <c r="AG11" i="7"/>
  <c r="AG15" i="7"/>
  <c r="AG16" i="7"/>
  <c r="AG28" i="7"/>
  <c r="AE10" i="7"/>
  <c r="AE11" i="7"/>
  <c r="AE15" i="7"/>
  <c r="AE16" i="7"/>
  <c r="AC10" i="7"/>
  <c r="AC11" i="7"/>
  <c r="AC15" i="7"/>
  <c r="AC16" i="7"/>
  <c r="AC28" i="7"/>
  <c r="AA10" i="7"/>
  <c r="AA11" i="7"/>
  <c r="Y10" i="7"/>
  <c r="Y11" i="7"/>
  <c r="Y15" i="7"/>
  <c r="Y16" i="7"/>
  <c r="W10" i="7"/>
  <c r="W11" i="7"/>
  <c r="W15" i="7"/>
  <c r="W16" i="7"/>
  <c r="U10" i="7"/>
  <c r="U11" i="7"/>
  <c r="U15" i="7"/>
  <c r="U16" i="7"/>
  <c r="S10" i="7"/>
  <c r="S11" i="7"/>
  <c r="S15" i="7"/>
  <c r="S16" i="7"/>
  <c r="Q10" i="7"/>
  <c r="Q11" i="7"/>
  <c r="Q15" i="7"/>
  <c r="Q16" i="7"/>
  <c r="Q28" i="7"/>
  <c r="O10" i="7"/>
  <c r="O11" i="7"/>
  <c r="O15" i="7"/>
  <c r="O16" i="7"/>
  <c r="M10" i="7"/>
  <c r="M11" i="7"/>
  <c r="M15" i="7"/>
  <c r="M16" i="7"/>
  <c r="M28" i="7"/>
  <c r="K10" i="7"/>
  <c r="K11" i="7"/>
  <c r="K15" i="7"/>
  <c r="K16" i="7"/>
  <c r="I10" i="7"/>
  <c r="I16" i="7"/>
  <c r="G10" i="7"/>
  <c r="G11" i="7"/>
  <c r="G28" i="7"/>
  <c r="E10" i="7"/>
  <c r="E11" i="7"/>
  <c r="E15" i="7"/>
  <c r="E16" i="7"/>
  <c r="C10" i="7"/>
  <c r="C11" i="7"/>
  <c r="C15" i="7"/>
  <c r="C16" i="7"/>
  <c r="AW19" i="3"/>
  <c r="BA19" i="3"/>
  <c r="AV6" i="3"/>
  <c r="AZ6" i="3"/>
  <c r="AW6" i="3"/>
  <c r="BA6" i="3"/>
  <c r="AV7" i="3"/>
  <c r="AZ7" i="3"/>
  <c r="AW7" i="3"/>
  <c r="BA7" i="3"/>
  <c r="AV8" i="3"/>
  <c r="AZ8" i="3"/>
  <c r="AV9" i="3"/>
  <c r="AZ9" i="3"/>
  <c r="AV10" i="3"/>
  <c r="AZ10" i="3"/>
  <c r="AW10" i="3"/>
  <c r="BA10" i="3"/>
  <c r="AV11" i="3"/>
  <c r="AZ11" i="3"/>
  <c r="AW11" i="3"/>
  <c r="BA11" i="3"/>
  <c r="AV14" i="3"/>
  <c r="AZ14" i="3"/>
  <c r="AV15" i="3"/>
  <c r="AZ15" i="3"/>
  <c r="AW15" i="3"/>
  <c r="BA15" i="3"/>
  <c r="AV16" i="3"/>
  <c r="AZ16" i="3"/>
  <c r="AW16" i="3"/>
  <c r="BA16" i="3"/>
  <c r="AV17" i="3"/>
  <c r="AZ17" i="3"/>
  <c r="AW17" i="3"/>
  <c r="BA17" i="3"/>
  <c r="AW5" i="3"/>
  <c r="BA5" i="3"/>
  <c r="AS18" i="3"/>
  <c r="AS20" i="3"/>
  <c r="AQ18" i="3"/>
  <c r="AQ20" i="3"/>
  <c r="AO18" i="3"/>
  <c r="AO20" i="3"/>
  <c r="AK18" i="3"/>
  <c r="AK20" i="3"/>
  <c r="AG18" i="3"/>
  <c r="AG20" i="3"/>
  <c r="AE18" i="3"/>
  <c r="AE20" i="3"/>
  <c r="AC18" i="3"/>
  <c r="AC20" i="3"/>
  <c r="AA18" i="3"/>
  <c r="AA20" i="3"/>
  <c r="Y18" i="3"/>
  <c r="Y20" i="3"/>
  <c r="U18" i="3"/>
  <c r="U20" i="3"/>
  <c r="S18" i="3"/>
  <c r="S20" i="3"/>
  <c r="Q18" i="3"/>
  <c r="O18" i="3"/>
  <c r="O20" i="3"/>
  <c r="M18" i="3"/>
  <c r="M20" i="3"/>
  <c r="I18" i="3"/>
  <c r="I20" i="3"/>
  <c r="G18" i="3"/>
  <c r="G20" i="3"/>
  <c r="E18" i="3"/>
  <c r="E20" i="3"/>
  <c r="C18" i="3"/>
  <c r="AV6" i="4"/>
  <c r="AZ6" i="4"/>
  <c r="AW6" i="4"/>
  <c r="BA6" i="4"/>
  <c r="AW7" i="4"/>
  <c r="BA7" i="4"/>
  <c r="AV8" i="4"/>
  <c r="AZ8" i="4"/>
  <c r="AV9" i="4"/>
  <c r="AZ9" i="4"/>
  <c r="AV10" i="4"/>
  <c r="AZ10" i="4"/>
  <c r="AW10" i="4"/>
  <c r="BA10" i="4"/>
  <c r="AV11" i="4"/>
  <c r="AZ11" i="4"/>
  <c r="AV14" i="4"/>
  <c r="AZ14" i="4"/>
  <c r="AV15" i="4"/>
  <c r="AZ15" i="4"/>
  <c r="AV16" i="4"/>
  <c r="AZ16" i="4"/>
  <c r="AW16" i="4"/>
  <c r="BA16" i="4"/>
  <c r="AV17" i="4"/>
  <c r="AZ17" i="4"/>
  <c r="AW17" i="4"/>
  <c r="BA17" i="4"/>
  <c r="AU18" i="4"/>
  <c r="AU20" i="4"/>
  <c r="AQ18" i="4"/>
  <c r="AQ20" i="4"/>
  <c r="AO18" i="4"/>
  <c r="AO20" i="4"/>
  <c r="AK18" i="4"/>
  <c r="AK20" i="4"/>
  <c r="AG18" i="4"/>
  <c r="AG20" i="4"/>
  <c r="AE18" i="4"/>
  <c r="AE20" i="4"/>
  <c r="AA18" i="4"/>
  <c r="AA20" i="4"/>
  <c r="Y18" i="4"/>
  <c r="Y20" i="4"/>
  <c r="W18" i="4"/>
  <c r="W20" i="4"/>
  <c r="U18" i="4"/>
  <c r="U20" i="4"/>
  <c r="S18" i="4"/>
  <c r="S20" i="4"/>
  <c r="Q18" i="4"/>
  <c r="O18" i="4"/>
  <c r="O20" i="4"/>
  <c r="M18" i="4"/>
  <c r="M20" i="4"/>
  <c r="K18" i="4"/>
  <c r="G18" i="4"/>
  <c r="G20" i="4"/>
  <c r="E18" i="4"/>
  <c r="E20" i="4"/>
  <c r="AY12" i="2"/>
  <c r="AY14" i="2"/>
  <c r="AU12" i="2"/>
  <c r="AU14" i="2"/>
  <c r="AS12" i="2"/>
  <c r="AS14" i="2"/>
  <c r="AQ12" i="2"/>
  <c r="AQ14" i="2"/>
  <c r="AO12" i="2"/>
  <c r="AO14" i="2"/>
  <c r="AK12" i="2"/>
  <c r="AK14" i="2"/>
  <c r="AG12" i="2"/>
  <c r="AG14" i="2"/>
  <c r="AC12" i="2"/>
  <c r="AC14" i="2"/>
  <c r="AA12" i="2"/>
  <c r="AA14" i="2"/>
  <c r="Y12" i="2"/>
  <c r="Y14" i="2"/>
  <c r="W12" i="2"/>
  <c r="W14" i="2"/>
  <c r="S12" i="2"/>
  <c r="S14" i="2"/>
  <c r="Q12" i="2"/>
  <c r="Q14" i="2"/>
  <c r="O12" i="2"/>
  <c r="O14" i="2"/>
  <c r="M12" i="2"/>
  <c r="M14" i="2"/>
  <c r="K12" i="2"/>
  <c r="K14" i="2"/>
  <c r="G12" i="2"/>
  <c r="G14" i="2"/>
  <c r="C12" i="2"/>
  <c r="C14" i="2"/>
  <c r="AY12" i="1"/>
  <c r="AY14" i="1"/>
  <c r="AQ12" i="1"/>
  <c r="AQ14" i="1"/>
  <c r="AO12" i="1"/>
  <c r="AO14" i="1"/>
  <c r="AE12" i="1"/>
  <c r="AE14" i="1"/>
  <c r="AC12" i="1"/>
  <c r="AC14" i="1"/>
  <c r="AA12" i="1"/>
  <c r="AA14" i="1"/>
  <c r="Y12" i="1"/>
  <c r="Y14" i="1"/>
  <c r="W12" i="1"/>
  <c r="W14" i="1"/>
  <c r="U12" i="1"/>
  <c r="U14" i="1"/>
  <c r="S12" i="1"/>
  <c r="M12" i="1"/>
  <c r="M14" i="1"/>
  <c r="I12" i="1"/>
  <c r="I14" i="1"/>
  <c r="G12" i="1"/>
  <c r="G14" i="1"/>
  <c r="BA6" i="22"/>
  <c r="W14" i="22"/>
  <c r="AW7" i="22"/>
  <c r="BA7" i="22"/>
  <c r="AW8" i="22"/>
  <c r="BA8" i="22"/>
  <c r="AW9" i="22"/>
  <c r="BA9" i="22"/>
  <c r="AW10" i="22"/>
  <c r="BA10" i="22"/>
  <c r="AW11" i="22"/>
  <c r="BA11" i="22"/>
  <c r="AW12" i="22"/>
  <c r="BA12" i="22"/>
  <c r="AW13" i="22"/>
  <c r="BA13" i="22"/>
  <c r="AW4" i="22"/>
  <c r="BA4" i="22"/>
  <c r="AS14" i="22"/>
  <c r="AG14" i="22"/>
  <c r="AI14" i="22"/>
  <c r="AK14" i="22"/>
  <c r="AM14" i="22"/>
  <c r="AA14" i="22"/>
  <c r="AC14" i="22"/>
  <c r="AE14" i="22"/>
  <c r="Y14" i="22"/>
  <c r="S14" i="22"/>
  <c r="U14" i="22"/>
  <c r="M14" i="22"/>
  <c r="O14" i="22"/>
  <c r="Q14" i="22"/>
  <c r="AX12" i="1"/>
  <c r="AX9" i="7"/>
  <c r="AX14" i="7"/>
  <c r="AT9" i="7"/>
  <c r="AT12" i="7"/>
  <c r="AT14" i="7"/>
  <c r="AR9" i="7"/>
  <c r="AR12" i="7"/>
  <c r="AR14" i="7"/>
  <c r="AP9" i="7"/>
  <c r="AP12" i="7"/>
  <c r="AP14" i="7"/>
  <c r="AN9" i="7"/>
  <c r="AN12" i="7"/>
  <c r="AN14" i="7"/>
  <c r="AL9" i="7"/>
  <c r="AL28" i="7"/>
  <c r="AJ9" i="7"/>
  <c r="AJ12" i="7"/>
  <c r="AJ14" i="7"/>
  <c r="AH9" i="7"/>
  <c r="AH12" i="7"/>
  <c r="AH14" i="7"/>
  <c r="AF9" i="7"/>
  <c r="AF12" i="7"/>
  <c r="AF14" i="7"/>
  <c r="AD9" i="7"/>
  <c r="AD12" i="7"/>
  <c r="AD14" i="7"/>
  <c r="AB9" i="7"/>
  <c r="Z9" i="7"/>
  <c r="Z12" i="7"/>
  <c r="Z14" i="7"/>
  <c r="X9" i="7"/>
  <c r="X12" i="7"/>
  <c r="X14" i="7"/>
  <c r="V9" i="7"/>
  <c r="V12" i="7"/>
  <c r="V14" i="7"/>
  <c r="T9" i="7"/>
  <c r="T12" i="7"/>
  <c r="T14" i="7"/>
  <c r="R9" i="7"/>
  <c r="R12" i="7"/>
  <c r="R14" i="7"/>
  <c r="P9" i="7"/>
  <c r="P12" i="7"/>
  <c r="P14" i="7"/>
  <c r="N9" i="7"/>
  <c r="N12" i="7"/>
  <c r="N14" i="7"/>
  <c r="L9" i="7"/>
  <c r="L12" i="7"/>
  <c r="L14" i="7"/>
  <c r="J9" i="7"/>
  <c r="J12" i="7"/>
  <c r="J14" i="7"/>
  <c r="H9" i="7"/>
  <c r="H12" i="7"/>
  <c r="F9" i="7"/>
  <c r="D9" i="7"/>
  <c r="D12" i="7"/>
  <c r="D14" i="7"/>
  <c r="B9" i="7"/>
  <c r="B12" i="7"/>
  <c r="AV8" i="5"/>
  <c r="AZ8" i="5"/>
  <c r="AV9" i="5"/>
  <c r="AZ9" i="5"/>
  <c r="AV7" i="5"/>
  <c r="AY10" i="5"/>
  <c r="AY12" i="5"/>
  <c r="AX10" i="5"/>
  <c r="AX12" i="5"/>
  <c r="K12" i="5"/>
  <c r="Y4" i="23"/>
  <c r="AA4" i="23"/>
  <c r="AA8" i="23"/>
  <c r="K14" i="22"/>
  <c r="AU14" i="22"/>
  <c r="E14" i="22"/>
  <c r="G14" i="22"/>
  <c r="I14" i="22"/>
  <c r="C14" i="22"/>
  <c r="AV6" i="2"/>
  <c r="AZ6" i="2"/>
  <c r="AW6" i="2"/>
  <c r="BA6" i="2"/>
  <c r="AV7" i="2"/>
  <c r="AZ7" i="2"/>
  <c r="AV8" i="2"/>
  <c r="AZ8" i="2"/>
  <c r="AV9" i="2"/>
  <c r="AZ9" i="2"/>
  <c r="AV10" i="2"/>
  <c r="AZ10" i="2"/>
  <c r="AV11" i="2"/>
  <c r="AZ11" i="2"/>
  <c r="AV13" i="2"/>
  <c r="AZ13" i="2"/>
  <c r="AW13" i="2"/>
  <c r="BA13" i="2"/>
  <c r="AW5" i="2"/>
  <c r="BA5" i="2"/>
  <c r="AV5" i="2"/>
  <c r="AZ5" i="2"/>
  <c r="AB12" i="2"/>
  <c r="AB14" i="2"/>
  <c r="AB12" i="1"/>
  <c r="AB14" i="1"/>
  <c r="AY18" i="3"/>
  <c r="AY20" i="3"/>
  <c r="AX18" i="3"/>
  <c r="AX20" i="3"/>
  <c r="D18" i="3"/>
  <c r="D20" i="3"/>
  <c r="F18" i="3"/>
  <c r="F20" i="3"/>
  <c r="H18" i="3"/>
  <c r="H20" i="3"/>
  <c r="J18" i="3"/>
  <c r="J20" i="3"/>
  <c r="K18" i="3"/>
  <c r="K20" i="3"/>
  <c r="L18" i="3"/>
  <c r="L20" i="3"/>
  <c r="N18" i="3"/>
  <c r="N20" i="3"/>
  <c r="P18" i="3"/>
  <c r="P20" i="3"/>
  <c r="R18" i="3"/>
  <c r="R20" i="3"/>
  <c r="T18" i="3"/>
  <c r="V18" i="3"/>
  <c r="V20" i="3"/>
  <c r="W18" i="3"/>
  <c r="W20" i="3"/>
  <c r="X18" i="3"/>
  <c r="X20" i="3"/>
  <c r="Z18" i="3"/>
  <c r="Z20" i="3"/>
  <c r="AB18" i="3"/>
  <c r="AB20" i="3"/>
  <c r="AD18" i="3"/>
  <c r="AD20" i="3"/>
  <c r="AF18" i="3"/>
  <c r="AF20" i="3"/>
  <c r="AH18" i="3"/>
  <c r="AH20" i="3"/>
  <c r="AI18" i="3"/>
  <c r="AI20" i="3"/>
  <c r="AJ18" i="3"/>
  <c r="AJ20" i="3"/>
  <c r="AL18" i="3"/>
  <c r="AL20" i="3"/>
  <c r="AM18" i="3"/>
  <c r="AM20" i="3"/>
  <c r="AN18" i="3"/>
  <c r="AN20" i="3"/>
  <c r="AP18" i="3"/>
  <c r="AP20" i="3"/>
  <c r="AR18" i="3"/>
  <c r="AR20" i="3"/>
  <c r="AT18" i="3"/>
  <c r="AT20" i="3"/>
  <c r="AU18" i="3"/>
  <c r="AU20" i="3"/>
  <c r="B18" i="3"/>
  <c r="B20" i="3"/>
  <c r="AY18" i="4"/>
  <c r="AY20" i="4"/>
  <c r="AX18" i="4"/>
  <c r="AX20" i="4"/>
  <c r="D18" i="4"/>
  <c r="D20" i="4"/>
  <c r="F18" i="4"/>
  <c r="F20" i="4"/>
  <c r="H18" i="4"/>
  <c r="H20" i="4"/>
  <c r="J18" i="4"/>
  <c r="J20" i="4"/>
  <c r="L18" i="4"/>
  <c r="L20" i="4"/>
  <c r="N18" i="4"/>
  <c r="N20" i="4"/>
  <c r="P18" i="4"/>
  <c r="P20" i="4"/>
  <c r="R18" i="4"/>
  <c r="R20" i="4"/>
  <c r="T18" i="4"/>
  <c r="T20" i="4"/>
  <c r="V18" i="4"/>
  <c r="V20" i="4"/>
  <c r="X18" i="4"/>
  <c r="X20" i="4"/>
  <c r="Z18" i="4"/>
  <c r="Z20" i="4"/>
  <c r="AB18" i="4"/>
  <c r="AB20" i="4"/>
  <c r="AC18" i="4"/>
  <c r="AC20" i="4"/>
  <c r="AD18" i="4"/>
  <c r="AD20" i="4"/>
  <c r="AF18" i="4"/>
  <c r="AF20" i="4"/>
  <c r="AH18" i="4"/>
  <c r="AH20" i="4"/>
  <c r="AJ18" i="4"/>
  <c r="AJ20" i="4"/>
  <c r="AL18" i="4"/>
  <c r="AL20" i="4"/>
  <c r="AM18" i="4"/>
  <c r="AM20" i="4"/>
  <c r="AN18" i="4"/>
  <c r="AN20" i="4"/>
  <c r="AP18" i="4"/>
  <c r="AP20" i="4"/>
  <c r="AR18" i="4"/>
  <c r="AR20" i="4"/>
  <c r="AS18" i="4"/>
  <c r="AS20" i="4"/>
  <c r="AT18" i="4"/>
  <c r="AT20" i="4"/>
  <c r="B18" i="4"/>
  <c r="B20" i="4"/>
  <c r="AX12" i="2"/>
  <c r="AX14" i="2"/>
  <c r="D12" i="2"/>
  <c r="D14" i="2"/>
  <c r="E12" i="2"/>
  <c r="F12" i="2"/>
  <c r="F14" i="2"/>
  <c r="H12" i="2"/>
  <c r="H14" i="2"/>
  <c r="I12" i="2"/>
  <c r="I14" i="2"/>
  <c r="J12" i="2"/>
  <c r="J14" i="2"/>
  <c r="L12" i="2"/>
  <c r="L14" i="2"/>
  <c r="N12" i="2"/>
  <c r="N14" i="2"/>
  <c r="R12" i="2"/>
  <c r="R14" i="2"/>
  <c r="T12" i="2"/>
  <c r="T14" i="2"/>
  <c r="U12" i="2"/>
  <c r="U14" i="2"/>
  <c r="V12" i="2"/>
  <c r="V14" i="2"/>
  <c r="X12" i="2"/>
  <c r="X14" i="2"/>
  <c r="Z12" i="2"/>
  <c r="Z14" i="2"/>
  <c r="P12" i="2"/>
  <c r="AD12" i="2"/>
  <c r="AD14" i="2"/>
  <c r="AE12" i="2"/>
  <c r="AE14" i="2"/>
  <c r="AF12" i="2"/>
  <c r="AF14" i="2"/>
  <c r="AH12" i="2"/>
  <c r="AH14" i="2"/>
  <c r="AI12" i="2"/>
  <c r="AI14" i="2"/>
  <c r="AJ12" i="2"/>
  <c r="AJ14" i="2"/>
  <c r="AL12" i="2"/>
  <c r="AL14" i="2"/>
  <c r="AM12" i="2"/>
  <c r="AM14" i="2"/>
  <c r="AN12" i="2"/>
  <c r="AN14" i="2"/>
  <c r="AP12" i="2"/>
  <c r="AP14" i="2"/>
  <c r="AR12" i="2"/>
  <c r="AR14" i="2"/>
  <c r="AT12" i="2"/>
  <c r="AT14" i="2"/>
  <c r="B12" i="2"/>
  <c r="D12" i="1"/>
  <c r="D14" i="1"/>
  <c r="E12" i="1"/>
  <c r="E14" i="1"/>
  <c r="F12" i="1"/>
  <c r="F14" i="1"/>
  <c r="H12" i="1"/>
  <c r="H14" i="1"/>
  <c r="J12" i="1"/>
  <c r="J14" i="1"/>
  <c r="K12" i="1"/>
  <c r="K14" i="1"/>
  <c r="L12" i="1"/>
  <c r="L14" i="1"/>
  <c r="N12" i="1"/>
  <c r="N14" i="1"/>
  <c r="O12" i="1"/>
  <c r="O14" i="1"/>
  <c r="R12" i="1"/>
  <c r="R14" i="1"/>
  <c r="T12" i="1"/>
  <c r="T14" i="1"/>
  <c r="V12" i="1"/>
  <c r="V14" i="1"/>
  <c r="Z12" i="1"/>
  <c r="Z14" i="1"/>
  <c r="P12" i="1"/>
  <c r="P14" i="1"/>
  <c r="Q12" i="1"/>
  <c r="Q14" i="1"/>
  <c r="AD12" i="1"/>
  <c r="AD14" i="1"/>
  <c r="AF12" i="1"/>
  <c r="AF14" i="1"/>
  <c r="AG12" i="1"/>
  <c r="AG14" i="1"/>
  <c r="AH12" i="1"/>
  <c r="AH14" i="1"/>
  <c r="AJ12" i="1"/>
  <c r="AJ14" i="1"/>
  <c r="AL12" i="1"/>
  <c r="AL14" i="1"/>
  <c r="AM12" i="1"/>
  <c r="AM14" i="1"/>
  <c r="AN12" i="1"/>
  <c r="AN14" i="1"/>
  <c r="AP12" i="1"/>
  <c r="AP14" i="1"/>
  <c r="AR12" i="1"/>
  <c r="AR14" i="1"/>
  <c r="AS12" i="1"/>
  <c r="AS14" i="1"/>
  <c r="AT12" i="1"/>
  <c r="AT14" i="1"/>
  <c r="AU12" i="1"/>
  <c r="AU14" i="1"/>
  <c r="C12" i="1"/>
  <c r="C14" i="1"/>
  <c r="B12" i="1"/>
  <c r="B14" i="1"/>
  <c r="AV14" i="1"/>
  <c r="AN28" i="7"/>
  <c r="AT28" i="7"/>
  <c r="AR28" i="7"/>
  <c r="AP28" i="7"/>
  <c r="AK28" i="7"/>
  <c r="AJ28" i="7"/>
  <c r="AH28" i="7"/>
  <c r="AF28" i="7"/>
  <c r="AE28" i="7"/>
  <c r="AD28" i="7"/>
  <c r="AB28" i="7"/>
  <c r="AA28" i="7"/>
  <c r="Z28" i="7"/>
  <c r="X28" i="7"/>
  <c r="V28" i="7"/>
  <c r="T28" i="7"/>
  <c r="R28" i="7"/>
  <c r="P28" i="7"/>
  <c r="N28" i="7"/>
  <c r="L28" i="7"/>
  <c r="J28" i="7"/>
  <c r="F28" i="7"/>
  <c r="D28" i="7"/>
  <c r="B28" i="7"/>
  <c r="AV27" i="7"/>
  <c r="AZ27" i="7"/>
  <c r="AV25" i="7"/>
  <c r="AZ25" i="7"/>
  <c r="AV24" i="7"/>
  <c r="AZ24" i="7"/>
  <c r="AV23" i="7"/>
  <c r="AZ23" i="7"/>
  <c r="AV22" i="7"/>
  <c r="AZ22" i="7"/>
  <c r="AV21" i="7"/>
  <c r="AZ21" i="7"/>
  <c r="AV20" i="7"/>
  <c r="AZ20" i="7"/>
  <c r="AV19" i="7"/>
  <c r="AZ19" i="7"/>
  <c r="AV18" i="7"/>
  <c r="AZ18" i="7"/>
  <c r="AV17" i="7"/>
  <c r="AZ17" i="7"/>
  <c r="AV16" i="7"/>
  <c r="AZ16" i="7"/>
  <c r="AV15" i="7"/>
  <c r="AZ15" i="7"/>
  <c r="AV11" i="7"/>
  <c r="AZ11" i="7"/>
  <c r="AV10" i="7"/>
  <c r="AZ10" i="7"/>
  <c r="AV8" i="7"/>
  <c r="AZ8" i="7"/>
  <c r="AW7" i="7"/>
  <c r="BA7" i="7"/>
  <c r="AV7" i="7"/>
  <c r="AZ7" i="7"/>
  <c r="AW6" i="7"/>
  <c r="BA6" i="7"/>
  <c r="AV6" i="7"/>
  <c r="AZ6" i="7"/>
  <c r="AV30" i="6"/>
  <c r="AZ30" i="6"/>
  <c r="AV28" i="6"/>
  <c r="AZ28" i="6"/>
  <c r="AV27" i="6"/>
  <c r="AZ27" i="6"/>
  <c r="AV24" i="6"/>
  <c r="AZ24" i="6"/>
  <c r="AV21" i="6"/>
  <c r="AZ21" i="6"/>
  <c r="AV20" i="6"/>
  <c r="AZ20" i="6"/>
  <c r="AV19" i="6"/>
  <c r="AZ19" i="6"/>
  <c r="AV18" i="6"/>
  <c r="AZ18" i="6"/>
  <c r="AV17" i="6"/>
  <c r="AZ17" i="6"/>
  <c r="AZ16" i="6"/>
  <c r="AV15" i="6"/>
  <c r="AZ15" i="6"/>
  <c r="AV14" i="6"/>
  <c r="AZ14" i="6"/>
  <c r="AV13" i="6"/>
  <c r="AZ13" i="6"/>
  <c r="AV12" i="6"/>
  <c r="AZ12" i="6"/>
  <c r="AV11" i="6"/>
  <c r="AZ11" i="6"/>
  <c r="AV10" i="6"/>
  <c r="AZ10" i="6"/>
  <c r="AV8" i="6"/>
  <c r="AZ8" i="6"/>
  <c r="AV7" i="6"/>
  <c r="AZ7" i="6"/>
  <c r="AV6" i="6"/>
  <c r="AZ6" i="6"/>
  <c r="AW8" i="5"/>
  <c r="BA8" i="5"/>
  <c r="AW19" i="4"/>
  <c r="BA19" i="4"/>
  <c r="AV19" i="4"/>
  <c r="AZ19" i="4"/>
  <c r="AV5" i="4"/>
  <c r="AZ5" i="4"/>
  <c r="AV19" i="3"/>
  <c r="AZ19" i="3"/>
  <c r="AV5" i="3"/>
  <c r="AZ5" i="3"/>
  <c r="I18" i="4"/>
  <c r="I20" i="4"/>
  <c r="C18" i="4"/>
  <c r="AW8" i="2"/>
  <c r="BA8" i="2"/>
  <c r="AW11" i="2"/>
  <c r="BA11" i="2"/>
  <c r="AW10" i="2"/>
  <c r="BA10" i="2"/>
  <c r="AW9" i="2"/>
  <c r="BA9" i="2"/>
  <c r="AW7" i="2"/>
  <c r="BA7" i="2"/>
  <c r="Q14" i="5"/>
  <c r="K14" i="5"/>
  <c r="AW7" i="5"/>
  <c r="BA7" i="5"/>
  <c r="AY28" i="7"/>
  <c r="BA27" i="7"/>
  <c r="U28" i="7"/>
  <c r="E28" i="7"/>
  <c r="S28" i="7"/>
  <c r="Y28" i="7"/>
  <c r="W28" i="7"/>
  <c r="O28" i="7"/>
  <c r="K28" i="7"/>
  <c r="AW8" i="7"/>
  <c r="BA8" i="7"/>
  <c r="C28" i="7"/>
  <c r="AI18" i="4"/>
  <c r="AI20" i="4"/>
  <c r="AW9" i="5"/>
  <c r="BA9" i="5"/>
  <c r="AK12" i="1"/>
  <c r="AK14" i="1"/>
  <c r="T34" i="6"/>
  <c r="AV22" i="6"/>
  <c r="AZ22" i="6"/>
  <c r="AS34" i="6"/>
  <c r="AS36" i="6"/>
  <c r="AS38" i="6"/>
  <c r="AU34" i="6"/>
  <c r="AU36" i="6"/>
  <c r="AU38" i="6"/>
  <c r="AW11" i="1"/>
  <c r="BA11" i="1"/>
  <c r="AB12" i="7"/>
  <c r="AB14" i="7"/>
  <c r="I14" i="5"/>
  <c r="AY14" i="5"/>
  <c r="AG12" i="5"/>
  <c r="AM14" i="5"/>
  <c r="AP14" i="5"/>
  <c r="AK12" i="5"/>
  <c r="AJ14" i="5"/>
  <c r="AA12" i="5"/>
  <c r="T12" i="5"/>
  <c r="C12" i="5"/>
  <c r="D14" i="5"/>
  <c r="U34" i="6"/>
  <c r="U36" i="6"/>
  <c r="U38" i="6"/>
  <c r="AW22" i="6"/>
  <c r="BA22" i="6"/>
  <c r="AW15" i="7"/>
  <c r="BA15" i="7"/>
  <c r="AE12" i="5"/>
  <c r="E12" i="5"/>
  <c r="E14" i="5"/>
  <c r="E14" i="2"/>
  <c r="AX14" i="1"/>
  <c r="AM9" i="7"/>
  <c r="AM28" i="7"/>
  <c r="AW28" i="7"/>
  <c r="AL12" i="7"/>
  <c r="AL14" i="7"/>
  <c r="N14" i="5"/>
  <c r="X14" i="5"/>
  <c r="F14" i="5"/>
  <c r="AX14" i="5"/>
  <c r="AQ12" i="5"/>
  <c r="Y12" i="5"/>
  <c r="S14" i="7"/>
  <c r="AL12" i="5"/>
  <c r="AW41" i="11"/>
  <c r="AV14" i="11"/>
  <c r="AZ14" i="11" s="1"/>
  <c r="AT51" i="31"/>
  <c r="AV23" i="31"/>
  <c r="AZ23" i="31" s="1"/>
  <c r="AR51" i="31"/>
  <c r="AO51" i="31"/>
  <c r="AN51" i="31"/>
  <c r="N10" i="31"/>
  <c r="AW5" i="31"/>
  <c r="BA5" i="31" s="1"/>
  <c r="Q10" i="31"/>
  <c r="C51" i="31"/>
  <c r="AH51" i="31"/>
  <c r="AD51" i="31"/>
  <c r="AB51" i="31"/>
  <c r="Z51" i="31"/>
  <c r="V51" i="31"/>
  <c r="P51" i="31"/>
  <c r="AV47" i="31"/>
  <c r="AZ47" i="31" s="1"/>
  <c r="N51" i="31"/>
  <c r="AV50" i="31"/>
  <c r="AZ50" i="31" s="1"/>
  <c r="B51" i="31"/>
  <c r="AW16" i="7"/>
  <c r="BA16" i="7"/>
  <c r="B38" i="6"/>
  <c r="C38" i="6"/>
  <c r="AW14" i="22"/>
  <c r="BA14" i="22"/>
  <c r="AW9" i="7"/>
  <c r="BA9" i="7"/>
  <c r="F12" i="7"/>
  <c r="F14" i="7"/>
  <c r="AW12" i="2"/>
  <c r="BA12" i="2"/>
  <c r="AW12" i="1"/>
  <c r="BA12" i="1"/>
  <c r="S14" i="1"/>
  <c r="B14" i="2"/>
  <c r="C20" i="3"/>
  <c r="C20" i="4"/>
  <c r="K20" i="4"/>
  <c r="H14" i="7"/>
  <c r="H12" i="5"/>
  <c r="AT38" i="32"/>
  <c r="AV18" i="3"/>
  <c r="AZ18" i="3"/>
  <c r="AV12" i="1"/>
  <c r="AZ12" i="1"/>
  <c r="T20" i="3"/>
  <c r="AW18" i="3"/>
  <c r="BA18" i="3"/>
  <c r="AW18" i="4"/>
  <c r="BA18" i="4"/>
  <c r="AV12" i="2"/>
  <c r="AZ12" i="2"/>
  <c r="P14" i="2"/>
  <c r="Q20" i="4"/>
  <c r="AV18" i="4"/>
  <c r="AZ18" i="4"/>
  <c r="Q20" i="3"/>
  <c r="E38" i="6"/>
  <c r="B14" i="5"/>
  <c r="B42" i="32"/>
  <c r="AT14" i="5"/>
  <c r="AS12" i="5"/>
  <c r="AR14" i="5"/>
  <c r="AN12" i="5"/>
  <c r="AH12" i="5"/>
  <c r="AF12" i="5"/>
  <c r="AD14" i="5"/>
  <c r="AU12" i="5"/>
  <c r="AO14" i="5"/>
  <c r="AI14" i="5"/>
  <c r="Z14" i="5"/>
  <c r="AB14" i="5"/>
  <c r="AC12" i="5"/>
  <c r="V14" i="5"/>
  <c r="R14" i="5"/>
  <c r="P14" i="5"/>
  <c r="O12" i="5"/>
  <c r="S14" i="5"/>
  <c r="U14" i="5"/>
  <c r="W12" i="5"/>
  <c r="AV28" i="7"/>
  <c r="AZ28" i="7"/>
  <c r="AV9" i="7"/>
  <c r="AZ9" i="7"/>
  <c r="L14" i="5"/>
  <c r="AW10" i="5"/>
  <c r="BA10" i="5"/>
  <c r="M14" i="5"/>
  <c r="J38" i="6"/>
  <c r="AV10" i="5"/>
  <c r="AV12" i="5"/>
  <c r="AZ7" i="5"/>
  <c r="J14" i="5"/>
  <c r="Y8" i="23"/>
  <c r="AV12" i="22"/>
  <c r="AZ12" i="22"/>
  <c r="AV14" i="22"/>
  <c r="AZ14" i="22"/>
  <c r="AZ20" i="32"/>
  <c r="AZ10" i="32"/>
  <c r="BA28" i="7"/>
  <c r="AZ12" i="5"/>
  <c r="AZ14" i="1"/>
  <c r="AW20" i="4"/>
  <c r="BA20" i="4"/>
  <c r="AW14" i="1"/>
  <c r="BA14" i="1"/>
  <c r="AV14" i="2"/>
  <c r="AZ14" i="2"/>
  <c r="BA12" i="5"/>
  <c r="D38" i="6"/>
  <c r="AW14" i="5"/>
  <c r="BA14" i="5"/>
  <c r="AV20" i="4"/>
  <c r="AZ20" i="4"/>
  <c r="AV12" i="7"/>
  <c r="AZ12" i="7"/>
  <c r="B14" i="7"/>
  <c r="AV14" i="7"/>
  <c r="AZ14" i="7"/>
  <c r="AW14" i="2"/>
  <c r="BA14" i="2"/>
  <c r="AW20" i="3"/>
  <c r="BA20" i="3"/>
  <c r="AV20" i="3"/>
  <c r="AZ20" i="3"/>
  <c r="E14" i="7"/>
  <c r="AV14" i="5"/>
  <c r="AZ14" i="5"/>
  <c r="AZ10" i="5"/>
  <c r="AW10" i="7"/>
  <c r="BA10" i="7"/>
  <c r="AZ19" i="32"/>
  <c r="H25" i="32"/>
  <c r="H32" i="32"/>
  <c r="H42" i="32"/>
  <c r="AW11" i="7"/>
  <c r="BA11" i="7"/>
  <c r="Z13" i="11"/>
  <c r="AZ25" i="32"/>
  <c r="AZ42" i="32"/>
  <c r="AZ32" i="32"/>
  <c r="E51" i="31"/>
  <c r="M51" i="31"/>
  <c r="L51" i="31"/>
  <c r="AV41" i="11"/>
  <c r="AW22" i="11"/>
  <c r="BA22" i="11" s="1"/>
  <c r="H51" i="31"/>
  <c r="AV10" i="31"/>
  <c r="AZ10" i="31" s="1"/>
  <c r="G38" i="6"/>
  <c r="F38" i="6"/>
  <c r="AV36" i="30"/>
  <c r="AZ36" i="30"/>
  <c r="AV34" i="6"/>
  <c r="AZ34" i="6"/>
  <c r="T36" i="6"/>
  <c r="T38" i="6"/>
  <c r="AW34" i="6"/>
  <c r="BA34" i="6"/>
  <c r="AW36" i="6"/>
  <c r="BA36" i="6"/>
  <c r="O38" i="6"/>
  <c r="AW38" i="6"/>
  <c r="BA38" i="6"/>
  <c r="AU51" i="31"/>
  <c r="AT38" i="6"/>
  <c r="X22" i="32"/>
  <c r="X25" i="32"/>
  <c r="X32" i="32"/>
  <c r="T32" i="32"/>
  <c r="T42" i="32"/>
  <c r="AV38" i="6"/>
  <c r="AZ38" i="6"/>
  <c r="AV36" i="6"/>
  <c r="AZ36" i="6"/>
  <c r="AP51" i="31"/>
  <c r="AV38" i="30"/>
  <c r="AZ38" i="30"/>
  <c r="AW38" i="30"/>
  <c r="BA38" i="30"/>
  <c r="R51" i="31"/>
  <c r="AW47" i="31"/>
  <c r="BA47" i="31" s="1"/>
  <c r="W51" i="31"/>
  <c r="AW50" i="31"/>
  <c r="BA50" i="31" s="1"/>
  <c r="T51" i="31"/>
  <c r="U51" i="31"/>
  <c r="AV13" i="11"/>
  <c r="AZ13" i="11" s="1"/>
  <c r="Y51" i="31"/>
  <c r="AG51" i="31"/>
  <c r="AW10" i="31"/>
  <c r="BA10" i="31" s="1"/>
  <c r="AW13" i="11"/>
  <c r="BA13" i="11" s="1"/>
  <c r="AW27" i="11" l="1"/>
  <c r="BA27" i="11" s="1"/>
  <c r="BA41" i="11"/>
  <c r="AS51" i="31"/>
  <c r="AJ51" i="31"/>
  <c r="AV51" i="31" s="1"/>
  <c r="AZ51" i="31" s="1"/>
  <c r="AK51" i="31"/>
  <c r="AV27" i="11"/>
  <c r="AZ27" i="11" s="1"/>
  <c r="AI51" i="31"/>
  <c r="AZ41" i="11"/>
  <c r="AW51" i="31" l="1"/>
  <c r="BA51" i="31" s="1"/>
  <c r="AM14" i="7"/>
  <c r="AW14" i="7"/>
  <c r="BA14" i="7"/>
  <c r="AM12" i="7"/>
  <c r="AW12" i="7"/>
  <c r="BA12" i="7"/>
</calcChain>
</file>

<file path=xl/sharedStrings.xml><?xml version="1.0" encoding="utf-8"?>
<sst xmlns="http://schemas.openxmlformats.org/spreadsheetml/2006/main" count="1541" uniqueCount="394">
  <si>
    <t>Particulars</t>
  </si>
  <si>
    <t>Private Total</t>
  </si>
  <si>
    <t>Grand Total</t>
  </si>
  <si>
    <t>Individual agents</t>
  </si>
  <si>
    <t>Corporate Agents-Banks</t>
  </si>
  <si>
    <t>Corporate Agents -Others</t>
  </si>
  <si>
    <t>Brokers</t>
  </si>
  <si>
    <t>Micro Agents</t>
  </si>
  <si>
    <t>Direct Business</t>
  </si>
  <si>
    <t>Others (only)</t>
  </si>
  <si>
    <t>Total(A)</t>
  </si>
  <si>
    <t>Referral  (B)</t>
  </si>
  <si>
    <t>Grand Total (A+B)</t>
  </si>
  <si>
    <t>L37:BUSINESS ACQUISITION THROUGH DIFFERENT CHANNELS (GROUP) Lives</t>
  </si>
  <si>
    <t>Channels</t>
  </si>
  <si>
    <t>CSC</t>
  </si>
  <si>
    <t>POS</t>
  </si>
  <si>
    <t>IMF</t>
  </si>
  <si>
    <t>Online</t>
  </si>
  <si>
    <t>Web Aggregators</t>
  </si>
  <si>
    <t>Total (A)</t>
  </si>
  <si>
    <t>Premiums earned - Net</t>
  </si>
  <si>
    <t>(a) Premium</t>
  </si>
  <si>
    <t>Direct   -  First year premiums</t>
  </si>
  <si>
    <t xml:space="preserve">           -  Renewal premiums</t>
  </si>
  <si>
    <t xml:space="preserve">           -  Single premiums</t>
  </si>
  <si>
    <t>Total premium</t>
  </si>
  <si>
    <t>Premium Income from business written:</t>
  </si>
  <si>
    <t>- In India</t>
  </si>
  <si>
    <t>- Outside India</t>
  </si>
  <si>
    <t>Insurance claims</t>
  </si>
  <si>
    <t>(a) Claims by death</t>
  </si>
  <si>
    <t>(b) Claims by maturity</t>
  </si>
  <si>
    <t>(c) Annuities  /  Pension payment</t>
  </si>
  <si>
    <t>(d) Others</t>
  </si>
  <si>
    <t>Survival Benefits</t>
  </si>
  <si>
    <t xml:space="preserve">- Surrender </t>
  </si>
  <si>
    <t xml:space="preserve">- Discontinuance/Lapsed Termination </t>
  </si>
  <si>
    <t xml:space="preserve">- Withdrawals </t>
  </si>
  <si>
    <t xml:space="preserve">- Rider </t>
  </si>
  <si>
    <t xml:space="preserve">- Health </t>
  </si>
  <si>
    <t>Lumpsum Benefit/Income Benefit(Installment)</t>
  </si>
  <si>
    <t>Bonus to Policyholders</t>
  </si>
  <si>
    <t>Vesting of pension policy</t>
  </si>
  <si>
    <t>Waiver of Premium</t>
  </si>
  <si>
    <t xml:space="preserve">- Interest on unclaimed amounts  </t>
  </si>
  <si>
    <t>Claim Investigation Fees</t>
  </si>
  <si>
    <t xml:space="preserve">- Others </t>
  </si>
  <si>
    <t>(Amount ceded in reinsurance)</t>
  </si>
  <si>
    <t>(c) Annuities  /  pension payment</t>
  </si>
  <si>
    <t>(d) Other benefits/Health</t>
  </si>
  <si>
    <t>(e) Riders</t>
  </si>
  <si>
    <t>Amount accepted in reinsurance</t>
  </si>
  <si>
    <t>(d) Other benefits</t>
  </si>
  <si>
    <t>Total</t>
  </si>
  <si>
    <t>Benefits paid to Claimants</t>
  </si>
  <si>
    <t>In India</t>
  </si>
  <si>
    <t>Outside India</t>
  </si>
  <si>
    <t>L4:PREMIUM SCHEDULE</t>
  </si>
  <si>
    <t>Commission</t>
  </si>
  <si>
    <t>Direct    -  First year premiums</t>
  </si>
  <si>
    <t xml:space="preserve">              -  Renewal premiums</t>
  </si>
  <si>
    <t xml:space="preserve">              -  Single premiums</t>
  </si>
  <si>
    <t>Add: Commission on Re-insurance accepted</t>
  </si>
  <si>
    <t>Less: Commission on Re-insurance ceded</t>
  </si>
  <si>
    <t>Net commission</t>
  </si>
  <si>
    <t xml:space="preserve">Break-up of the commission expenses (Gross) </t>
  </si>
  <si>
    <t>incurred to procure business:</t>
  </si>
  <si>
    <t>Agents</t>
  </si>
  <si>
    <t>Corporate agency</t>
  </si>
  <si>
    <t>Bancassurance</t>
  </si>
  <si>
    <t>Micro Insurance Agent</t>
  </si>
  <si>
    <t>Web Aggregator</t>
  </si>
  <si>
    <t>Referral</t>
  </si>
  <si>
    <t>Others</t>
  </si>
  <si>
    <r>
      <rPr>
        <sz val="9"/>
        <rFont val="Comic Sans MS"/>
        <family val="4"/>
      </rPr>
      <t>Surplus/ (Deficit) from Policyholders Accounts</t>
    </r>
  </si>
  <si>
    <r>
      <rPr>
        <sz val="9"/>
        <rFont val="Comic Sans MS"/>
        <family val="4"/>
      </rPr>
      <t>Income from Investments</t>
    </r>
  </si>
  <si>
    <r>
      <rPr>
        <sz val="9"/>
        <rFont val="Comic Sans MS"/>
        <family val="4"/>
      </rPr>
      <t>(a) Interest, Dividend &amp; Rent -  Gross</t>
    </r>
  </si>
  <si>
    <r>
      <rPr>
        <sz val="9"/>
        <rFont val="Comic Sans MS"/>
        <family val="4"/>
      </rPr>
      <t>(b) Profit on sale / redemption of investments</t>
    </r>
  </si>
  <si>
    <r>
      <rPr>
        <sz val="9"/>
        <rFont val="Comic Sans MS"/>
        <family val="4"/>
      </rPr>
      <t>(c) (Loss on sale / redemption of investments)</t>
    </r>
  </si>
  <si>
    <r>
      <rPr>
        <sz val="9"/>
        <rFont val="Comic Sans MS"/>
        <family val="4"/>
      </rPr>
      <t>(d) Accretion of discount/(amortisation of premium) (net)</t>
    </r>
  </si>
  <si>
    <r>
      <rPr>
        <sz val="9"/>
        <rFont val="Comic Sans MS"/>
        <family val="4"/>
      </rPr>
      <t>Other Income</t>
    </r>
  </si>
  <si>
    <r>
      <rPr>
        <sz val="9"/>
        <rFont val="Comic Sans MS"/>
        <family val="4"/>
      </rPr>
      <t>Expenses other than those directly related to the insurance business</t>
    </r>
  </si>
  <si>
    <r>
      <rPr>
        <sz val="9"/>
        <rFont val="Comic Sans MS"/>
        <family val="4"/>
      </rPr>
      <t>(a) Rates and Taxes</t>
    </r>
  </si>
  <si>
    <r>
      <rPr>
        <sz val="9"/>
        <rFont val="Comic Sans MS"/>
        <family val="4"/>
      </rPr>
      <t>(b) Directors' Sitting Fees</t>
    </r>
  </si>
  <si>
    <r>
      <rPr>
        <sz val="9"/>
        <rFont val="Comic Sans MS"/>
        <family val="4"/>
      </rPr>
      <t>(c) Board Meeting Related Expenses</t>
    </r>
  </si>
  <si>
    <r>
      <rPr>
        <sz val="9"/>
        <rFont val="Comic Sans MS"/>
        <family val="4"/>
      </rPr>
      <t>(d) Depreciation</t>
    </r>
  </si>
  <si>
    <r>
      <rPr>
        <sz val="9"/>
        <rFont val="Comic Sans MS"/>
        <family val="4"/>
      </rPr>
      <t>(e) Other expenses</t>
    </r>
  </si>
  <si>
    <r>
      <rPr>
        <sz val="9"/>
        <rFont val="Comic Sans MS"/>
        <family val="4"/>
      </rPr>
      <t>(f) Corporate Social Responsibility expenses</t>
    </r>
  </si>
  <si>
    <r>
      <rPr>
        <sz val="9"/>
        <rFont val="Comic Sans MS"/>
        <family val="4"/>
      </rPr>
      <t>Bad debts written off</t>
    </r>
  </si>
  <si>
    <r>
      <rPr>
        <sz val="9"/>
        <rFont val="Comic Sans MS"/>
        <family val="4"/>
      </rPr>
      <t>Contribution to the Policyholders' Fund</t>
    </r>
  </si>
  <si>
    <r>
      <rPr>
        <sz val="9"/>
        <rFont val="Comic Sans MS"/>
        <family val="4"/>
      </rPr>
      <t>Provisions (Other than taxation)</t>
    </r>
  </si>
  <si>
    <r>
      <rPr>
        <sz val="9"/>
        <rFont val="Comic Sans MS"/>
        <family val="4"/>
      </rPr>
      <t>(a) For diminution in the value of investment (net)</t>
    </r>
  </si>
  <si>
    <r>
      <rPr>
        <sz val="9"/>
        <rFont val="Comic Sans MS"/>
        <family val="4"/>
      </rPr>
      <t>(b) Provision for doubtful debts</t>
    </r>
  </si>
  <si>
    <r>
      <rPr>
        <sz val="9"/>
        <rFont val="Comic Sans MS"/>
        <family val="4"/>
      </rPr>
      <t>Profit / (Loss) before tax</t>
    </r>
  </si>
  <si>
    <r>
      <rPr>
        <sz val="9"/>
        <rFont val="Comic Sans MS"/>
        <family val="4"/>
      </rPr>
      <t>Provision for Taxation</t>
    </r>
  </si>
  <si>
    <t>Deferred Tax credit/(charge)</t>
  </si>
  <si>
    <r>
      <rPr>
        <sz val="9"/>
        <rFont val="Comic Sans MS"/>
        <family val="4"/>
      </rPr>
      <t>-Income Tax</t>
    </r>
  </si>
  <si>
    <r>
      <rPr>
        <sz val="9"/>
        <rFont val="Comic Sans MS"/>
        <family val="4"/>
      </rPr>
      <t>Profit / (Loss) after tax</t>
    </r>
  </si>
  <si>
    <t>APPROPRIATIONS</t>
  </si>
  <si>
    <r>
      <rPr>
        <sz val="9"/>
        <rFont val="Comic Sans MS"/>
        <family val="4"/>
      </rPr>
      <t>(a) Balance at the beginning of the period</t>
    </r>
  </si>
  <si>
    <r>
      <rPr>
        <sz val="9"/>
        <rFont val="Comic Sans MS"/>
        <family val="4"/>
      </rPr>
      <t>(b) Interim dividend paid during the period</t>
    </r>
  </si>
  <si>
    <t>(c) Proposed final/interim dividend</t>
  </si>
  <si>
    <r>
      <rPr>
        <sz val="9"/>
        <rFont val="Comic Sans MS"/>
        <family val="4"/>
      </rPr>
      <t>(d) Dividend distribution tax</t>
    </r>
  </si>
  <si>
    <r>
      <rPr>
        <sz val="9"/>
        <rFont val="Comic Sans MS"/>
        <family val="4"/>
      </rPr>
      <t>(e) Transfer to reserves / other accounts</t>
    </r>
  </si>
  <si>
    <t>Profit / (Loss) carried to the Balance Sheet</t>
  </si>
  <si>
    <r>
      <rPr>
        <b/>
        <sz val="9"/>
        <rFont val="Comic Sans MS"/>
        <family val="4"/>
      </rPr>
      <t>EARNINGS</t>
    </r>
    <r>
      <rPr>
        <sz val="9"/>
        <rFont val="Comic Sans MS"/>
        <family val="4"/>
      </rPr>
      <t xml:space="preserve"> </t>
    </r>
    <r>
      <rPr>
        <b/>
        <sz val="9"/>
        <rFont val="Comic Sans MS"/>
        <family val="4"/>
      </rPr>
      <t>PER</t>
    </r>
    <r>
      <rPr>
        <sz val="9"/>
        <rFont val="Comic Sans MS"/>
        <family val="4"/>
      </rPr>
      <t xml:space="preserve"> </t>
    </r>
    <r>
      <rPr>
        <b/>
        <sz val="9"/>
        <rFont val="Comic Sans MS"/>
        <family val="4"/>
      </rPr>
      <t>EQUITY</t>
    </r>
    <r>
      <rPr>
        <sz val="9"/>
        <rFont val="Comic Sans MS"/>
        <family val="4"/>
      </rPr>
      <t xml:space="preserve"> </t>
    </r>
    <r>
      <rPr>
        <b/>
        <sz val="9"/>
        <rFont val="Comic Sans MS"/>
        <family val="4"/>
      </rPr>
      <t>SHARE</t>
    </r>
    <r>
      <rPr>
        <sz val="9"/>
        <rFont val="Comic Sans MS"/>
        <family val="4"/>
      </rPr>
      <t xml:space="preserve"> </t>
    </r>
    <r>
      <rPr>
        <b/>
        <sz val="9"/>
        <rFont val="Comic Sans MS"/>
        <family val="4"/>
      </rPr>
      <t>(in</t>
    </r>
    <r>
      <rPr>
        <sz val="9"/>
        <rFont val="Comic Sans MS"/>
        <family val="4"/>
      </rPr>
      <t xml:space="preserve"> `</t>
    </r>
    <r>
      <rPr>
        <b/>
        <sz val="9"/>
        <rFont val="Comic Sans MS"/>
        <family val="4"/>
      </rPr>
      <t>)</t>
    </r>
  </si>
  <si>
    <t>Basic</t>
  </si>
  <si>
    <t>Diluted</t>
  </si>
  <si>
    <t>L2:PROFIT &amp; LOSS ACCOUNT</t>
  </si>
  <si>
    <t>L5:COMMISSION SCHEDULE</t>
  </si>
  <si>
    <t>L7:BENEFITS PAID SCHEDULE</t>
  </si>
  <si>
    <t>Figures in Crores</t>
  </si>
  <si>
    <t xml:space="preserve">L38:BUSINESS ACQUISITION (Individual) Number of Policies </t>
  </si>
  <si>
    <t>Aditya Birla Sun Life Insurance Company Limited</t>
  </si>
  <si>
    <t>Aegon Life Insurance Company Limited</t>
  </si>
  <si>
    <t>Aviva Life Insurance Company India Private Limited</t>
  </si>
  <si>
    <t>Bajaj Allianz Life Insurance Company Limited</t>
  </si>
  <si>
    <t>Bharti AXA Life Insurance Private Limited</t>
  </si>
  <si>
    <t>Canara HSBC Oriental Bank of Commerce Life Insurance Company Limited</t>
  </si>
  <si>
    <t>Edelweiss Tokio Life Insurance Company Limited</t>
  </si>
  <si>
    <t>Exide life Insurance Company Limited</t>
  </si>
  <si>
    <t>Future Generali India Life Insurance Company Limited</t>
  </si>
  <si>
    <t>HDFC Life Insurance Company Limited</t>
  </si>
  <si>
    <t>ICICI Prudential Life Insurance Company Limited</t>
  </si>
  <si>
    <t>IndiaFirst Life Insurance Company Limited</t>
  </si>
  <si>
    <t>Kotak Mahindra Life Insurance Company Limited</t>
  </si>
  <si>
    <t>Max Life Insurance Company Limited</t>
  </si>
  <si>
    <t>PNB MetLife India Insurance Company Limited</t>
  </si>
  <si>
    <t>Reliance Nippon Life Insurance Company Limited</t>
  </si>
  <si>
    <t>Sahara India Life Insurance Company Limited</t>
  </si>
  <si>
    <t>SBI Life Insurance Company Limited</t>
  </si>
  <si>
    <t>Shriram Life Insurance Company Limited</t>
  </si>
  <si>
    <t>Star Union Dai-ichi Life Insurance Company Limited</t>
  </si>
  <si>
    <t>Tata AIA Life Insurance Company Limited</t>
  </si>
  <si>
    <t>Life Insurance Corporation of India</t>
  </si>
  <si>
    <t xml:space="preserve">Edelweiss Tokio Life Insurance Company Limited </t>
  </si>
  <si>
    <t>online</t>
  </si>
  <si>
    <t>(c) Others-Provision</t>
  </si>
  <si>
    <t>L-4</t>
  </si>
  <si>
    <t>(b) Reinsurance ceded</t>
  </si>
  <si>
    <t>(c) Reinsurance accepted</t>
  </si>
  <si>
    <t>SUB - TOTAL</t>
  </si>
  <si>
    <t>Income from investments</t>
  </si>
  <si>
    <t>(a) Interest, Dividends &amp; Rent - Gross</t>
  </si>
  <si>
    <t>(b) Profit on sale / redemption of investments</t>
  </si>
  <si>
    <t>(c) (Loss on sale / redemption of investments)</t>
  </si>
  <si>
    <t>(d) Transfer /Gain on revaluation / change in fair value*</t>
  </si>
  <si>
    <t>(e) Accretion of discount/(amortisation of premium) (Net)</t>
  </si>
  <si>
    <t xml:space="preserve">Other income  </t>
  </si>
  <si>
    <t>(a) Contribution from the Shareholders' A/c</t>
  </si>
  <si>
    <t>(b) Income on unclaimed amount of policyholders</t>
  </si>
  <si>
    <t>(c) Miscellaneous income</t>
  </si>
  <si>
    <t>L-5</t>
  </si>
  <si>
    <t>Operating expenses related to insurance business</t>
  </si>
  <si>
    <t>L-6</t>
  </si>
  <si>
    <t>Provision for doubtful debts</t>
  </si>
  <si>
    <t>Bad debts written off</t>
  </si>
  <si>
    <t>Provision for tax</t>
  </si>
  <si>
    <t xml:space="preserve"> - Income tax</t>
  </si>
  <si>
    <t>Provisions (other than taxation)</t>
  </si>
  <si>
    <t xml:space="preserve">(a) For diminution in the value of investments (Net) </t>
  </si>
  <si>
    <t xml:space="preserve">(b) For standard assets </t>
  </si>
  <si>
    <t>Good and Service Tax charges on charges</t>
  </si>
  <si>
    <t>Total (B)</t>
  </si>
  <si>
    <t>Benefits paid (Net)</t>
  </si>
  <si>
    <t>L-7</t>
  </si>
  <si>
    <t xml:space="preserve">Interim &amp; Terminal bonuses paid </t>
  </si>
  <si>
    <t xml:space="preserve">Change in valuation of liability in respect of life policies </t>
  </si>
  <si>
    <t>(a) Gross**</t>
  </si>
  <si>
    <t>(b) Amount ceded in Re-insurance</t>
  </si>
  <si>
    <t>(c) Amount accepted in Re-insurance</t>
  </si>
  <si>
    <t>(d) Fund reserve</t>
  </si>
  <si>
    <t>(e) Funds for discontinued policies</t>
  </si>
  <si>
    <t>Total (C)</t>
  </si>
  <si>
    <t>SURPLUS/ (DEFICIT) (D) = [(A)-(B)-(C)]</t>
  </si>
  <si>
    <t>Balance of previous year</t>
  </si>
  <si>
    <t>Balance available for appropriation</t>
  </si>
  <si>
    <t>Transfer to Shareholders' account</t>
  </si>
  <si>
    <t xml:space="preserve">Transfer to other reserves </t>
  </si>
  <si>
    <t>Balance being Funds for Future Appropriations</t>
  </si>
  <si>
    <t>a) Interim &amp; Terminal bonuses paid</t>
  </si>
  <si>
    <t>b) Allocation of bonus to policyholders</t>
  </si>
  <si>
    <t>c) Surplus shown in the revenue account</t>
  </si>
  <si>
    <t>d) Total Surplus: [(a) + (b) + (c )]</t>
  </si>
  <si>
    <t>Capital reserve</t>
  </si>
  <si>
    <t>Capital redemption reserve</t>
  </si>
  <si>
    <t>Share premium</t>
  </si>
  <si>
    <t>Revaluation reserve</t>
  </si>
  <si>
    <t>General reserves</t>
  </si>
  <si>
    <t>Less : Debit balance in Profit and Loss account, If any</t>
  </si>
  <si>
    <t>Less : Amount utililized for buy-back</t>
  </si>
  <si>
    <t>Catastrophe reserve</t>
  </si>
  <si>
    <t xml:space="preserve">Other reserves </t>
  </si>
  <si>
    <t>Balance of profit in Profit and Loss account</t>
  </si>
  <si>
    <t>Debentures / Bonds</t>
  </si>
  <si>
    <t>Banks</t>
  </si>
  <si>
    <t>Financial institutions</t>
  </si>
  <si>
    <t>Transfer to Balance Sheet being deficit in Revenue Account (Policyholders' account)</t>
  </si>
  <si>
    <t>Expenses in excess of Allowable Expense transferred to Shareholders Account</t>
  </si>
  <si>
    <t>(f) Provision for linked liabilities</t>
  </si>
  <si>
    <t>(g) Appreciation in unclaimed balances</t>
  </si>
  <si>
    <t>(f) Corporate Social Responsibility expenses</t>
  </si>
  <si>
    <t>(f) Unrealised Gains</t>
  </si>
  <si>
    <t>Transfer from Linked Fund (Lapsed policies)</t>
  </si>
  <si>
    <t>L37:BUSINESS ACQUISITION THROUGH DIFFERENT CHANNELS (GROUP) Premium</t>
  </si>
  <si>
    <t>L38::BUSINESS ACQUISITION THROUGH DIFFERENT CHANNELS (Individual) Premium</t>
  </si>
  <si>
    <t xml:space="preserve">PNB MetLife India Insurance Company Limited </t>
  </si>
  <si>
    <t>Current Tax (Credit)/Charge</t>
  </si>
  <si>
    <t>Provision for current tax</t>
  </si>
  <si>
    <t>Total (E)</t>
  </si>
  <si>
    <t>(c)Others</t>
  </si>
  <si>
    <r>
      <rPr>
        <b/>
        <sz val="9"/>
        <color indexed="30"/>
        <rFont val="Comic Sans MS"/>
        <family val="4"/>
      </rPr>
      <t>Total</t>
    </r>
    <r>
      <rPr>
        <sz val="9"/>
        <color indexed="30"/>
        <rFont val="Comic Sans MS"/>
        <family val="4"/>
      </rPr>
      <t xml:space="preserve"> </t>
    </r>
    <r>
      <rPr>
        <b/>
        <sz val="9"/>
        <color indexed="30"/>
        <rFont val="Comic Sans MS"/>
        <family val="4"/>
      </rPr>
      <t>(B)</t>
    </r>
  </si>
  <si>
    <r>
      <rPr>
        <b/>
        <sz val="9"/>
        <color indexed="30"/>
        <rFont val="Comic Sans MS"/>
        <family val="4"/>
      </rPr>
      <t>Total</t>
    </r>
    <r>
      <rPr>
        <sz val="9"/>
        <color indexed="30"/>
        <rFont val="Comic Sans MS"/>
        <family val="4"/>
      </rPr>
      <t xml:space="preserve"> </t>
    </r>
    <r>
      <rPr>
        <b/>
        <sz val="9"/>
        <color indexed="30"/>
        <rFont val="Comic Sans MS"/>
        <family val="4"/>
      </rPr>
      <t>(A)</t>
    </r>
  </si>
  <si>
    <t>Sahara India Life Insurance Company Limited (Total 2018-19 &amp; 2017-18)</t>
  </si>
  <si>
    <t>(h) Non Linked</t>
  </si>
  <si>
    <t>€ Transfer/Gain on revaluation/change in fair value</t>
  </si>
  <si>
    <t>Upto Q3 1920</t>
  </si>
  <si>
    <t>Reward/Remuneration to Agent,brokers &amp; other intermediaries</t>
  </si>
  <si>
    <t>Total Commission</t>
  </si>
  <si>
    <t>Pramerica Life Insurance Company Limited</t>
  </si>
  <si>
    <t>Linked</t>
  </si>
  <si>
    <t>Upto Q3 2021</t>
  </si>
  <si>
    <t>Upto Q3 202021</t>
  </si>
  <si>
    <t>AS at 31.12.2020</t>
  </si>
  <si>
    <t xml:space="preserve">Others </t>
  </si>
  <si>
    <t>Ageas Federal Life Insurance Company Limited</t>
  </si>
  <si>
    <t>Aegas Federal Life Insurance Company Limited</t>
  </si>
  <si>
    <t>L6:Operating Expenses Schedule Related to Insurance Business</t>
  </si>
  <si>
    <t xml:space="preserve">Employees' remuneration &amp; welfare benefits </t>
  </si>
  <si>
    <t>Travel, conveyance and vehicle running expenses</t>
  </si>
  <si>
    <t>Training expenses</t>
  </si>
  <si>
    <t xml:space="preserve">Rent, rates &amp; taxes </t>
  </si>
  <si>
    <t>Repairs</t>
  </si>
  <si>
    <t>Printing &amp; stationery</t>
  </si>
  <si>
    <t>Communication expenses</t>
  </si>
  <si>
    <t>Legal &amp; professional charges</t>
  </si>
  <si>
    <t>Medical fees</t>
  </si>
  <si>
    <t>Auditors' fees,expenses,etc.</t>
  </si>
  <si>
    <t>(a) as auditor</t>
  </si>
  <si>
    <t>(b) as adviser or in any other capacity,in respect of</t>
  </si>
  <si>
    <t xml:space="preserve">      (i) Taxation matters</t>
  </si>
  <si>
    <t xml:space="preserve">      (ii) Insurance matters</t>
  </si>
  <si>
    <t xml:space="preserve">      (iii)Management services; certification fee</t>
  </si>
  <si>
    <t>(c) in any other capacity</t>
  </si>
  <si>
    <t xml:space="preserve">(d) Out of pocket expenses </t>
  </si>
  <si>
    <t>Advertisement, Publicity and marketing</t>
  </si>
  <si>
    <t>Interest &amp; bank charges</t>
  </si>
  <si>
    <t xml:space="preserve">Agent Recruitment expenses </t>
  </si>
  <si>
    <t>Information technology expenses</t>
  </si>
  <si>
    <t>Goods and Service Tax/ Service Tax</t>
  </si>
  <si>
    <t>Stamp duty on policies</t>
  </si>
  <si>
    <t>Depreciation</t>
  </si>
  <si>
    <t>(Profit)/Loss on sale of Assests</t>
  </si>
  <si>
    <t>Distribution Expenses</t>
  </si>
  <si>
    <t>Business promotion expenses</t>
  </si>
  <si>
    <t>Business Processing Services</t>
  </si>
  <si>
    <t xml:space="preserve">Office Expenses </t>
  </si>
  <si>
    <t>Electricity</t>
  </si>
  <si>
    <t xml:space="preserve">Recruitment expenses </t>
  </si>
  <si>
    <t>Other expenses</t>
  </si>
  <si>
    <t>outsourcing expenses</t>
  </si>
  <si>
    <t>Contribution from Sharehoders Account towards Expense of Management</t>
  </si>
  <si>
    <t xml:space="preserve">Aegon Life Insurance Company Limited </t>
  </si>
  <si>
    <t xml:space="preserve">Bharti AXA Life Insurance Private Limited </t>
  </si>
  <si>
    <t xml:space="preserve">Exide life Insurance Company Limited </t>
  </si>
  <si>
    <t xml:space="preserve">Future Generali India Life Insurance Company Limited </t>
  </si>
  <si>
    <t xml:space="preserve">HDFC Life Insurance Company Limited </t>
  </si>
  <si>
    <t xml:space="preserve">ICICI Prudential Life Insurance Company Limited </t>
  </si>
  <si>
    <t xml:space="preserve">Star Union Dai-ichi Life Insurance Company Limited </t>
  </si>
  <si>
    <t>SOURCES OF FUNDS</t>
  </si>
  <si>
    <t>Shareholders' Funds</t>
  </si>
  <si>
    <r>
      <t xml:space="preserve">Share Capital </t>
    </r>
    <r>
      <rPr>
        <b/>
        <sz val="9"/>
        <color indexed="8"/>
        <rFont val="Comic Sans MS"/>
        <family val="4"/>
      </rPr>
      <t>L8</t>
    </r>
  </si>
  <si>
    <t>Share Application Money pending Allotment</t>
  </si>
  <si>
    <r>
      <t>Reserves And Surplus</t>
    </r>
    <r>
      <rPr>
        <b/>
        <sz val="9"/>
        <color indexed="8"/>
        <rFont val="Comic Sans MS"/>
        <family val="4"/>
      </rPr>
      <t xml:space="preserve"> L10</t>
    </r>
  </si>
  <si>
    <t>Credit/(Debit) Fair Value Change Account (Net)</t>
  </si>
  <si>
    <t>Deffered Tax Liability</t>
  </si>
  <si>
    <t>Sub-Total</t>
  </si>
  <si>
    <r>
      <t xml:space="preserve">Borrowings </t>
    </r>
    <r>
      <rPr>
        <b/>
        <sz val="9"/>
        <color indexed="8"/>
        <rFont val="Comic Sans MS"/>
        <family val="4"/>
      </rPr>
      <t>L11</t>
    </r>
  </si>
  <si>
    <t>Policyholders' Funds:</t>
  </si>
  <si>
    <t>Revaluation Reserve-Investment Property</t>
  </si>
  <si>
    <t>Policy Liabilities</t>
  </si>
  <si>
    <t>Surplus on Policy Holder's  A/c</t>
  </si>
  <si>
    <t>Non Linked</t>
  </si>
  <si>
    <t>Insurance Reserves</t>
  </si>
  <si>
    <t>Linked Liabilities</t>
  </si>
  <si>
    <t>Fair value change</t>
  </si>
  <si>
    <t>Provision For Linked Liabilities</t>
  </si>
  <si>
    <t>Credit/(Debit) Fair Value Change A/c (Linked)Change Account (Net)</t>
  </si>
  <si>
    <t>Non Linked Liabilities</t>
  </si>
  <si>
    <t>Funds for Discontinued Policies</t>
  </si>
  <si>
    <t xml:space="preserve">   Discontinued on account of non-payment of premium</t>
  </si>
  <si>
    <t xml:space="preserve">   Others</t>
  </si>
  <si>
    <t>Credit/(Debit) Fair Value Change Account (Linked)</t>
  </si>
  <si>
    <t>Total Linked Liabilities</t>
  </si>
  <si>
    <t>Funds For Future Appropriations</t>
  </si>
  <si>
    <t>TOTAL</t>
  </si>
  <si>
    <t>APPLICATION OF FUNDS</t>
  </si>
  <si>
    <t>Investments</t>
  </si>
  <si>
    <r>
      <t xml:space="preserve">Shareholders' </t>
    </r>
    <r>
      <rPr>
        <b/>
        <sz val="9"/>
        <color indexed="8"/>
        <rFont val="Comic Sans MS"/>
        <family val="4"/>
      </rPr>
      <t xml:space="preserve"> L12</t>
    </r>
  </si>
  <si>
    <r>
      <t xml:space="preserve">Policyholders'  </t>
    </r>
    <r>
      <rPr>
        <b/>
        <sz val="9"/>
        <color indexed="8"/>
        <rFont val="Comic Sans MS"/>
        <family val="4"/>
      </rPr>
      <t>L13</t>
    </r>
  </si>
  <si>
    <r>
      <t xml:space="preserve">Assets Held To Cover Linked Liabilities </t>
    </r>
    <r>
      <rPr>
        <b/>
        <sz val="9"/>
        <color indexed="8"/>
        <rFont val="Comic Sans MS"/>
        <family val="4"/>
      </rPr>
      <t>L14</t>
    </r>
  </si>
  <si>
    <r>
      <t>Loans</t>
    </r>
    <r>
      <rPr>
        <b/>
        <sz val="9"/>
        <color indexed="8"/>
        <rFont val="Comic Sans MS"/>
        <family val="4"/>
      </rPr>
      <t xml:space="preserve"> L15</t>
    </r>
  </si>
  <si>
    <r>
      <t xml:space="preserve">Fixed Assets </t>
    </r>
    <r>
      <rPr>
        <b/>
        <sz val="9"/>
        <color indexed="8"/>
        <rFont val="Comic Sans MS"/>
        <family val="4"/>
      </rPr>
      <t>L 16</t>
    </r>
  </si>
  <si>
    <t>Current Assets</t>
  </si>
  <si>
    <t>Deferred Tax Assets</t>
  </si>
  <si>
    <r>
      <t xml:space="preserve">Cash and Bank Balances </t>
    </r>
    <r>
      <rPr>
        <b/>
        <sz val="9"/>
        <color indexed="8"/>
        <rFont val="Comic Sans MS"/>
        <family val="4"/>
      </rPr>
      <t>L17</t>
    </r>
  </si>
  <si>
    <t>Advances And Other Assets L18</t>
  </si>
  <si>
    <t>Sub-Total (A)</t>
  </si>
  <si>
    <r>
      <t xml:space="preserve">Current Liabilities </t>
    </r>
    <r>
      <rPr>
        <b/>
        <sz val="9"/>
        <color indexed="8"/>
        <rFont val="Comic Sans MS"/>
        <family val="4"/>
      </rPr>
      <t>L19</t>
    </r>
  </si>
  <si>
    <r>
      <t xml:space="preserve">Provisions </t>
    </r>
    <r>
      <rPr>
        <b/>
        <sz val="9"/>
        <color indexed="8"/>
        <rFont val="Comic Sans MS"/>
        <family val="4"/>
      </rPr>
      <t>L20</t>
    </r>
  </si>
  <si>
    <t>Sub-Total (B)</t>
  </si>
  <si>
    <t>Net Current Assets (C) = (A - B)</t>
  </si>
  <si>
    <t xml:space="preserve">Miscellaneous Expenditure </t>
  </si>
  <si>
    <t>(To the extent not written off or adjusted)</t>
  </si>
  <si>
    <t>Debit Balance of Profit and Loss Account</t>
  </si>
  <si>
    <t>Deficit in the Revenue Account (Policyholders' Account)</t>
  </si>
  <si>
    <t>CONTINGENT LIABILITIES</t>
  </si>
  <si>
    <t>Partly paid - up investments</t>
  </si>
  <si>
    <t>Claims, other than against policies, not acknowledged as debts by the Company</t>
  </si>
  <si>
    <t>Underwriting commitments outstanding</t>
  </si>
  <si>
    <t>Guarantees given by or on behalf of the Company</t>
  </si>
  <si>
    <t xml:space="preserve">Statutory demands/ liabilities in dispute, not provided for </t>
  </si>
  <si>
    <t>Reinsurance obligations to the extent not provided for in accounts</t>
  </si>
  <si>
    <t>In relation to Claims against policies</t>
  </si>
  <si>
    <t xml:space="preserve"> Pramerica Life Insurance Company Limited</t>
  </si>
  <si>
    <t>Audited as at 31st Dec 2020</t>
  </si>
  <si>
    <t xml:space="preserve">Aegas Federal Life Insurance Company Limited </t>
  </si>
  <si>
    <t>(Face Value per share)</t>
  </si>
  <si>
    <t>Upto Q3 202122</t>
  </si>
  <si>
    <r>
      <rPr>
        <b/>
        <sz val="8"/>
        <color indexed="8"/>
        <rFont val="Comic Sans MS"/>
        <family val="4"/>
      </rPr>
      <t>(a)</t>
    </r>
    <r>
      <rPr>
        <sz val="8"/>
        <color indexed="8"/>
        <rFont val="Comic Sans MS"/>
        <family val="4"/>
      </rPr>
      <t xml:space="preserve"> Online (Through Company)</t>
    </r>
  </si>
  <si>
    <r>
      <rPr>
        <b/>
        <sz val="8"/>
        <color indexed="8"/>
        <rFont val="Comic Sans MS"/>
        <family val="4"/>
      </rPr>
      <t>(b)</t>
    </r>
    <r>
      <rPr>
        <sz val="8"/>
        <color indexed="8"/>
        <rFont val="Comic Sans MS"/>
        <family val="4"/>
      </rPr>
      <t>Others</t>
    </r>
  </si>
  <si>
    <r>
      <rPr>
        <b/>
        <sz val="9"/>
        <color indexed="8"/>
        <rFont val="Comic Sans MS"/>
        <family val="4"/>
      </rPr>
      <t>(a)</t>
    </r>
    <r>
      <rPr>
        <sz val="9"/>
        <color indexed="8"/>
        <rFont val="Comic Sans MS"/>
        <family val="4"/>
      </rPr>
      <t xml:space="preserve"> Online (Through Company)</t>
    </r>
  </si>
  <si>
    <r>
      <rPr>
        <b/>
        <sz val="9"/>
        <color indexed="8"/>
        <rFont val="Comic Sans MS"/>
        <family val="4"/>
      </rPr>
      <t>(b)</t>
    </r>
    <r>
      <rPr>
        <sz val="9"/>
        <color indexed="8"/>
        <rFont val="Comic Sans MS"/>
        <family val="4"/>
      </rPr>
      <t>Others</t>
    </r>
  </si>
  <si>
    <t>(in Lakh)</t>
  </si>
  <si>
    <t>Upto Q3 2122</t>
  </si>
  <si>
    <t>AS at 31.12.2021</t>
  </si>
  <si>
    <t>Form L-10-Reserves and Surplus Schedule(Amount in Lakhs)</t>
  </si>
  <si>
    <t>(in Lakhs)</t>
  </si>
  <si>
    <t>Audited as at 31st Dec 2021</t>
  </si>
  <si>
    <t>SECURITY WISE CLASSIFICATION</t>
  </si>
  <si>
    <t>Secured</t>
  </si>
  <si>
    <t>-</t>
  </si>
  <si>
    <t>(a)   On mortgage of property</t>
  </si>
  <si>
    <t xml:space="preserve">          (aa)   In India</t>
  </si>
  <si>
    <t xml:space="preserve">          (bb)  Outside India</t>
  </si>
  <si>
    <t>(b)  On Shares, Bonds, Govt Securities etc</t>
  </si>
  <si>
    <t>(c)  Loans against policies</t>
  </si>
  <si>
    <t>(d)  Others</t>
  </si>
  <si>
    <t>Unsecured</t>
  </si>
  <si>
    <t>Provision for Doubtful Debts</t>
  </si>
  <si>
    <t>BORROWER - WISE CLASSIFICATION</t>
  </si>
  <si>
    <t>(a)  Central and State Governments</t>
  </si>
  <si>
    <t>(b)  Banks and Financial institutions</t>
  </si>
  <si>
    <t>(c )  Subsidiaries</t>
  </si>
  <si>
    <t>(d)  Companies</t>
  </si>
  <si>
    <t>(e)   Loans against policies</t>
  </si>
  <si>
    <t>(f)   Others</t>
  </si>
  <si>
    <t>PERFORMANCE - WISE CLASSIFICATION</t>
  </si>
  <si>
    <t>(a)  Loans classified as standard</t>
  </si>
  <si>
    <t xml:space="preserve">        (aa)  In India</t>
  </si>
  <si>
    <t xml:space="preserve">        (bb) Outside India</t>
  </si>
  <si>
    <t>Provision for Standard Loans</t>
  </si>
  <si>
    <t>(b)  Non - standard loans less provisions</t>
  </si>
  <si>
    <t xml:space="preserve">        (bb)  Outside India</t>
  </si>
  <si>
    <t>Provision for Non Standard Loans</t>
  </si>
  <si>
    <t>MATURITY - WISE CLASSIFICATION</t>
  </si>
  <si>
    <t>(a)  Short Term</t>
  </si>
  <si>
    <t xml:space="preserve">        In India</t>
  </si>
  <si>
    <t xml:space="preserve">        Outside India</t>
  </si>
  <si>
    <t>Provision for Short Term</t>
  </si>
  <si>
    <t>(b)  Long Term</t>
  </si>
  <si>
    <t>Provision for Long Term</t>
  </si>
  <si>
    <t>(Amount in 'Lakh)</t>
  </si>
  <si>
    <t>Form L-11 -Borrowings Schedule  (Amount in 'Lakh')</t>
  </si>
  <si>
    <t>L-32:SOLVENCY MARGIN</t>
  </si>
  <si>
    <t>Description</t>
  </si>
  <si>
    <t>Available Assets in Policyholders' Fund:</t>
  </si>
  <si>
    <t>Deduct:</t>
  </si>
  <si>
    <t xml:space="preserve">Mathematical Reserves </t>
  </si>
  <si>
    <t xml:space="preserve">Other Liabilities </t>
  </si>
  <si>
    <t xml:space="preserve">Excess in  Policyholders' funds </t>
  </si>
  <si>
    <t xml:space="preserve">Available Assets in Shareholders Fund: </t>
  </si>
  <si>
    <t>Other Liabilities of shareholders' fund</t>
  </si>
  <si>
    <t xml:space="preserve">Excess in Shareholders' funds </t>
  </si>
  <si>
    <t>Total ASM (04)+(07)</t>
  </si>
  <si>
    <t>Total RSM</t>
  </si>
  <si>
    <t>Solvency Ratio (ASM/RSM)</t>
  </si>
  <si>
    <t>Adjusted Value Dec 2021</t>
  </si>
  <si>
    <t>Adjusted Value Dec 2020/2021 In Lakhs</t>
  </si>
  <si>
    <t>Form L-15-Loans Schedule  (` in Lakh)</t>
  </si>
  <si>
    <t>L3-Balance Sheet Figures in Lakhs</t>
  </si>
  <si>
    <t>Figures in Lakhs</t>
  </si>
  <si>
    <t>L1:REVENUE ACCOUNT Figures in Lakhs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</si>
</sst>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#0"/>
  </numFmts>
  <fonts count="57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b/>
      <sz val="10"/>
      <name val="Comic Sans MS"/>
      <family val="4"/>
    </font>
    <font>
      <b/>
      <sz val="8"/>
      <name val="Comic Sans MS"/>
      <family val="4"/>
    </font>
    <font>
      <sz val="9"/>
      <name val="Comic Sans MS"/>
      <family val="4"/>
    </font>
    <font>
      <sz val="10"/>
      <name val="Comic Sans MS"/>
      <family val="4"/>
    </font>
    <font>
      <b/>
      <i/>
      <sz val="9"/>
      <name val="Comic Sans MS"/>
      <family val="4"/>
    </font>
    <font>
      <sz val="11"/>
      <name val="Comic Sans MS"/>
      <family val="4"/>
    </font>
    <font>
      <b/>
      <sz val="9"/>
      <color indexed="30"/>
      <name val="Comic Sans MS"/>
      <family val="4"/>
    </font>
    <font>
      <sz val="9"/>
      <color indexed="30"/>
      <name val="Comic Sans MS"/>
      <family val="4"/>
    </font>
    <font>
      <b/>
      <sz val="9"/>
      <color indexed="8"/>
      <name val="Comic Sans MS"/>
      <family val="4"/>
    </font>
    <font>
      <sz val="9"/>
      <color indexed="8"/>
      <name val="Comic Sans MS"/>
      <family val="4"/>
    </font>
    <font>
      <sz val="8"/>
      <color indexed="8"/>
      <name val="Comic Sans MS"/>
      <family val="4"/>
    </font>
    <font>
      <b/>
      <sz val="8"/>
      <color indexed="8"/>
      <name val="Comic Sans MS"/>
      <family val="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mic Sans MS"/>
      <family val="4"/>
    </font>
    <font>
      <b/>
      <sz val="9"/>
      <color theme="1"/>
      <name val="Comic Sans MS"/>
      <family val="4"/>
    </font>
    <font>
      <i/>
      <sz val="9"/>
      <color theme="1"/>
      <name val="Comic Sans MS"/>
      <family val="4"/>
    </font>
    <font>
      <sz val="9"/>
      <color rgb="FF000000"/>
      <name val="Comic Sans MS"/>
      <family val="4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sz val="8"/>
      <color rgb="FF000000"/>
      <name val="Comic Sans MS"/>
      <family val="4"/>
    </font>
    <font>
      <b/>
      <sz val="10"/>
      <color theme="1"/>
      <name val="Comic Sans MS"/>
      <family val="4"/>
    </font>
    <font>
      <b/>
      <sz val="9"/>
      <color rgb="FF000000"/>
      <name val="Comic Sans MS"/>
      <family val="4"/>
    </font>
    <font>
      <b/>
      <sz val="8"/>
      <color theme="1"/>
      <name val="Comic Sans MS"/>
      <family val="4"/>
    </font>
    <font>
      <sz val="8"/>
      <color theme="1"/>
      <name val="Comic Sans MS"/>
      <family val="4"/>
    </font>
    <font>
      <b/>
      <sz val="8"/>
      <color rgb="FF000000"/>
      <name val="Comic Sans MS"/>
      <family val="4"/>
    </font>
    <font>
      <b/>
      <sz val="9"/>
      <color theme="4"/>
      <name val="Comic Sans MS"/>
      <family val="4"/>
    </font>
    <font>
      <sz val="9"/>
      <color theme="4"/>
      <name val="Comic Sans MS"/>
      <family val="4"/>
    </font>
    <font>
      <b/>
      <sz val="8"/>
      <color theme="4"/>
      <name val="Comic Sans MS"/>
      <family val="4"/>
    </font>
    <font>
      <sz val="11"/>
      <color theme="4"/>
      <name val="Comic Sans MS"/>
      <family val="4"/>
    </font>
    <font>
      <b/>
      <sz val="10"/>
      <color theme="4"/>
      <name val="Comic Sans MS"/>
      <family val="4"/>
    </font>
    <font>
      <b/>
      <sz val="11"/>
      <color theme="4"/>
      <name val="Comic Sans MS"/>
      <family val="4"/>
    </font>
    <font>
      <sz val="9"/>
      <color theme="8"/>
      <name val="Comic Sans MS"/>
      <family val="4"/>
    </font>
    <font>
      <b/>
      <sz val="9"/>
      <color theme="8"/>
      <name val="Comic Sans MS"/>
      <family val="4"/>
    </font>
    <font>
      <sz val="11"/>
      <color theme="8"/>
      <name val="Comic Sans MS"/>
      <family val="4"/>
    </font>
    <font>
      <sz val="11"/>
      <color theme="8"/>
      <name val="Calibri"/>
      <family val="2"/>
      <scheme val="minor"/>
    </font>
    <font>
      <b/>
      <sz val="8"/>
      <color theme="8"/>
      <name val="Comic Sans MS"/>
      <family val="4"/>
    </font>
    <font>
      <sz val="8"/>
      <color theme="8"/>
      <name val="Comic Sans MS"/>
      <family val="4"/>
    </font>
    <font>
      <b/>
      <sz val="10"/>
      <color theme="8"/>
      <name val="Comic Sans MS"/>
      <family val="4"/>
    </font>
    <font>
      <b/>
      <sz val="9"/>
      <color rgb="FF0070C0"/>
      <name val="Comic Sans MS"/>
      <family val="4"/>
    </font>
    <font>
      <sz val="9"/>
      <color rgb="FF0070C0"/>
      <name val="Comic Sans MS"/>
      <family val="4"/>
    </font>
    <font>
      <b/>
      <sz val="8"/>
      <color rgb="FF0070C0"/>
      <name val="Comic Sans MS"/>
      <family val="4"/>
    </font>
    <font>
      <b/>
      <sz val="11"/>
      <color rgb="FF0070C0"/>
      <name val="Comic Sans MS"/>
      <family val="4"/>
    </font>
    <font>
      <b/>
      <sz val="10"/>
      <color rgb="FF0070C0"/>
      <name val="Comic Sans MS"/>
      <family val="4"/>
    </font>
    <font>
      <b/>
      <sz val="9"/>
      <color rgb="FFFF0000"/>
      <name val="Comic Sans MS"/>
      <family val="4"/>
    </font>
    <font>
      <sz val="8"/>
      <color rgb="FFFF0000"/>
      <name val="Comic Sans MS"/>
      <family val="4"/>
    </font>
    <font>
      <sz val="10"/>
      <color rgb="FF000000"/>
      <name val="Comic Sans MS"/>
      <family val="4"/>
    </font>
    <font>
      <b/>
      <sz val="10"/>
      <color rgb="FF000000"/>
      <name val="Comic Sans MS"/>
      <family val="4"/>
    </font>
    <font>
      <b/>
      <sz val="11"/>
      <color theme="8"/>
      <name val="Comic Sans MS"/>
      <family val="4"/>
    </font>
    <font>
      <i/>
      <sz val="8"/>
      <color rgb="FF000000"/>
      <name val="Comic Sans MS"/>
      <family val="4"/>
    </font>
    <font>
      <b/>
      <sz val="11"/>
      <color rgb="FF00B0F0"/>
      <name val="Comic Sans MS"/>
      <family val="4"/>
    </font>
    <font>
      <b/>
      <sz val="9"/>
      <color rgb="FF00B0F0"/>
      <name val="Comic Sans MS"/>
      <family val="4"/>
    </font>
    <font>
      <b/>
      <sz val="11"/>
      <color theme="1"/>
      <name val="Comic Sans MS"/>
      <family val="4"/>
    </font>
    <font>
      <b/>
      <i/>
      <sz val="9"/>
      <color theme="8"/>
      <name val="Comic Sans MS"/>
      <family val="4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223">
    <xf numFmtId="0" fontId="0" fillId="0" borderId="0" xfId="0"/>
    <xf numFmtId="2" fontId="16" fillId="0" borderId="1" xfId="0" applyNumberFormat="1" applyFont="1" applyBorder="1" applyAlignment="1">
      <alignment horizontal="left"/>
    </xf>
    <xf numFmtId="2" fontId="16" fillId="0" borderId="2" xfId="0" applyNumberFormat="1" applyFont="1" applyBorder="1" applyAlignment="1">
      <alignment horizontal="left"/>
    </xf>
    <xf numFmtId="2" fontId="17" fillId="0" borderId="1" xfId="0" applyNumberFormat="1" applyFont="1" applyBorder="1" applyAlignment="1">
      <alignment horizontal="left"/>
    </xf>
    <xf numFmtId="2" fontId="17" fillId="0" borderId="2" xfId="0" applyNumberFormat="1" applyFont="1" applyBorder="1" applyAlignment="1">
      <alignment horizontal="left"/>
    </xf>
    <xf numFmtId="2" fontId="17" fillId="0" borderId="3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1" fontId="16" fillId="0" borderId="2" xfId="0" applyNumberFormat="1" applyFont="1" applyBorder="1" applyAlignment="1">
      <alignment horizontal="left" vertical="center"/>
    </xf>
    <xf numFmtId="1" fontId="17" fillId="0" borderId="1" xfId="0" applyNumberFormat="1" applyFont="1" applyBorder="1" applyAlignment="1">
      <alignment horizontal="left" vertical="center"/>
    </xf>
    <xf numFmtId="1" fontId="17" fillId="0" borderId="4" xfId="0" applyNumberFormat="1" applyFont="1" applyBorder="1" applyAlignment="1">
      <alignment horizontal="left" vertical="center"/>
    </xf>
    <xf numFmtId="1" fontId="16" fillId="0" borderId="2" xfId="0" applyNumberFormat="1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2" fontId="16" fillId="0" borderId="4" xfId="0" applyNumberFormat="1" applyFont="1" applyBorder="1" applyAlignment="1">
      <alignment horizontal="left"/>
    </xf>
    <xf numFmtId="1" fontId="16" fillId="0" borderId="4" xfId="0" applyNumberFormat="1" applyFont="1" applyBorder="1" applyAlignment="1">
      <alignment horizontal="left"/>
    </xf>
    <xf numFmtId="1" fontId="16" fillId="0" borderId="3" xfId="0" applyNumberFormat="1" applyFont="1" applyBorder="1" applyAlignment="1">
      <alignment horizontal="left"/>
    </xf>
    <xf numFmtId="1" fontId="16" fillId="0" borderId="4" xfId="1" applyNumberFormat="1" applyFont="1" applyBorder="1" applyAlignment="1">
      <alignment horizontal="left"/>
    </xf>
    <xf numFmtId="1" fontId="17" fillId="0" borderId="2" xfId="0" applyNumberFormat="1" applyFont="1" applyBorder="1" applyAlignment="1">
      <alignment horizontal="left"/>
    </xf>
    <xf numFmtId="1" fontId="17" fillId="0" borderId="1" xfId="0" applyNumberFormat="1" applyFont="1" applyBorder="1" applyAlignment="1">
      <alignment horizontal="left"/>
    </xf>
    <xf numFmtId="2" fontId="17" fillId="0" borderId="4" xfId="0" applyNumberFormat="1" applyFont="1" applyBorder="1" applyAlignment="1">
      <alignment horizontal="left"/>
    </xf>
    <xf numFmtId="1" fontId="17" fillId="0" borderId="4" xfId="0" applyNumberFormat="1" applyFont="1" applyBorder="1" applyAlignment="1">
      <alignment horizontal="left"/>
    </xf>
    <xf numFmtId="1" fontId="16" fillId="0" borderId="0" xfId="0" applyNumberFormat="1" applyFont="1" applyAlignment="1">
      <alignment horizontal="left"/>
    </xf>
    <xf numFmtId="2" fontId="16" fillId="0" borderId="5" xfId="0" applyNumberFormat="1" applyFont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1" fontId="16" fillId="0" borderId="7" xfId="0" applyNumberFormat="1" applyFont="1" applyBorder="1" applyAlignment="1">
      <alignment horizontal="left" vertical="center"/>
    </xf>
    <xf numFmtId="1" fontId="16" fillId="0" borderId="5" xfId="0" applyNumberFormat="1" applyFont="1" applyBorder="1" applyAlignment="1">
      <alignment horizontal="left" vertical="center"/>
    </xf>
    <xf numFmtId="1" fontId="16" fillId="0" borderId="8" xfId="0" applyNumberFormat="1" applyFont="1" applyBorder="1" applyAlignment="1">
      <alignment horizontal="left"/>
    </xf>
    <xf numFmtId="1" fontId="16" fillId="0" borderId="5" xfId="0" applyNumberFormat="1" applyFont="1" applyBorder="1" applyAlignment="1">
      <alignment horizontal="left"/>
    </xf>
    <xf numFmtId="1" fontId="16" fillId="0" borderId="9" xfId="0" applyNumberFormat="1" applyFont="1" applyBorder="1" applyAlignment="1">
      <alignment horizontal="left"/>
    </xf>
    <xf numFmtId="1" fontId="16" fillId="0" borderId="7" xfId="0" applyNumberFormat="1" applyFont="1" applyBorder="1" applyAlignment="1">
      <alignment horizontal="left"/>
    </xf>
    <xf numFmtId="2" fontId="16" fillId="0" borderId="8" xfId="0" applyNumberFormat="1" applyFont="1" applyBorder="1" applyAlignment="1">
      <alignment horizontal="left"/>
    </xf>
    <xf numFmtId="1" fontId="16" fillId="0" borderId="7" xfId="2" applyNumberFormat="1" applyFont="1" applyBorder="1" applyAlignment="1">
      <alignment horizontal="left"/>
    </xf>
    <xf numFmtId="1" fontId="16" fillId="0" borderId="8" xfId="1" applyNumberFormat="1" applyFont="1" applyBorder="1" applyAlignment="1">
      <alignment horizontal="left"/>
    </xf>
    <xf numFmtId="1" fontId="16" fillId="0" borderId="5" xfId="1" applyNumberFormat="1" applyFont="1" applyBorder="1" applyAlignment="1">
      <alignment horizontal="left"/>
    </xf>
    <xf numFmtId="1" fontId="17" fillId="0" borderId="10" xfId="0" applyNumberFormat="1" applyFont="1" applyBorder="1" applyAlignment="1">
      <alignment horizontal="left"/>
    </xf>
    <xf numFmtId="2" fontId="16" fillId="0" borderId="0" xfId="0" applyNumberFormat="1" applyFont="1" applyAlignment="1">
      <alignment horizontal="left"/>
    </xf>
    <xf numFmtId="1" fontId="16" fillId="0" borderId="1" xfId="0" applyNumberFormat="1" applyFont="1" applyBorder="1" applyAlignment="1">
      <alignment horizontal="left" vertical="center"/>
    </xf>
    <xf numFmtId="1" fontId="16" fillId="0" borderId="1" xfId="2" applyNumberFormat="1" applyFont="1" applyBorder="1" applyAlignment="1">
      <alignment horizontal="left"/>
    </xf>
    <xf numFmtId="1" fontId="17" fillId="0" borderId="11" xfId="0" applyNumberFormat="1" applyFont="1" applyBorder="1" applyAlignment="1">
      <alignment horizontal="left"/>
    </xf>
    <xf numFmtId="1" fontId="17" fillId="0" borderId="12" xfId="0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2" fontId="21" fillId="0" borderId="1" xfId="0" applyNumberFormat="1" applyFont="1" applyBorder="1" applyAlignment="1">
      <alignment horizontal="left"/>
    </xf>
    <xf numFmtId="2" fontId="21" fillId="0" borderId="2" xfId="0" applyNumberFormat="1" applyFont="1" applyBorder="1" applyAlignment="1">
      <alignment horizontal="left"/>
    </xf>
    <xf numFmtId="2" fontId="21" fillId="0" borderId="13" xfId="0" applyNumberFormat="1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2" fontId="21" fillId="0" borderId="4" xfId="0" applyNumberFormat="1" applyFont="1" applyBorder="1" applyAlignment="1">
      <alignment horizontal="left"/>
    </xf>
    <xf numFmtId="165" fontId="22" fillId="0" borderId="2" xfId="0" applyNumberFormat="1" applyFont="1" applyBorder="1" applyAlignment="1">
      <alignment horizontal="left"/>
    </xf>
    <xf numFmtId="2" fontId="21" fillId="0" borderId="1" xfId="0" applyNumberFormat="1" applyFont="1" applyFill="1" applyBorder="1" applyAlignment="1">
      <alignment horizontal="left"/>
    </xf>
    <xf numFmtId="2" fontId="21" fillId="0" borderId="2" xfId="0" applyNumberFormat="1" applyFont="1" applyFill="1" applyBorder="1" applyAlignment="1">
      <alignment horizontal="left"/>
    </xf>
    <xf numFmtId="2" fontId="21" fillId="0" borderId="2" xfId="1" applyNumberFormat="1" applyFont="1" applyBorder="1" applyAlignment="1">
      <alignment horizontal="left"/>
    </xf>
    <xf numFmtId="2" fontId="23" fillId="0" borderId="4" xfId="0" applyNumberFormat="1" applyFont="1" applyBorder="1" applyAlignment="1">
      <alignment horizontal="left"/>
    </xf>
    <xf numFmtId="2" fontId="21" fillId="0" borderId="1" xfId="1" applyNumberFormat="1" applyFont="1" applyBorder="1" applyAlignment="1">
      <alignment horizontal="left"/>
    </xf>
    <xf numFmtId="2" fontId="23" fillId="0" borderId="1" xfId="0" applyNumberFormat="1" applyFont="1" applyBorder="1" applyAlignment="1">
      <alignment horizontal="left"/>
    </xf>
    <xf numFmtId="2" fontId="17" fillId="0" borderId="1" xfId="0" applyNumberFormat="1" applyFont="1" applyBorder="1" applyAlignment="1">
      <alignment horizontal="left" vertical="center"/>
    </xf>
    <xf numFmtId="2" fontId="20" fillId="0" borderId="0" xfId="0" applyNumberFormat="1" applyFont="1" applyAlignment="1">
      <alignment horizontal="left"/>
    </xf>
    <xf numFmtId="2" fontId="17" fillId="0" borderId="1" xfId="2" applyNumberFormat="1" applyFont="1" applyBorder="1" applyAlignment="1">
      <alignment horizontal="left"/>
    </xf>
    <xf numFmtId="2" fontId="17" fillId="0" borderId="2" xfId="2" applyNumberFormat="1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17" fillId="0" borderId="0" xfId="0" applyFont="1"/>
    <xf numFmtId="0" fontId="25" fillId="0" borderId="0" xfId="0" applyFont="1" applyAlignment="1">
      <alignment horizontal="left"/>
    </xf>
    <xf numFmtId="2" fontId="17" fillId="0" borderId="4" xfId="0" applyNumberFormat="1" applyFont="1" applyBorder="1" applyAlignment="1">
      <alignment horizontal="left" vertical="center"/>
    </xf>
    <xf numFmtId="2" fontId="17" fillId="0" borderId="3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2" fontId="17" fillId="0" borderId="13" xfId="0" applyNumberFormat="1" applyFont="1" applyBorder="1" applyAlignment="1">
      <alignment horizontal="left"/>
    </xf>
    <xf numFmtId="2" fontId="17" fillId="0" borderId="1" xfId="1" applyNumberFormat="1" applyFont="1" applyBorder="1" applyAlignment="1">
      <alignment horizontal="left"/>
    </xf>
    <xf numFmtId="2" fontId="17" fillId="0" borderId="2" xfId="1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left"/>
    </xf>
    <xf numFmtId="2" fontId="17" fillId="0" borderId="1" xfId="0" applyNumberFormat="1" applyFont="1" applyBorder="1" applyAlignment="1">
      <alignment horizontal="left" wrapText="1"/>
    </xf>
    <xf numFmtId="0" fontId="24" fillId="0" borderId="14" xfId="0" applyFont="1" applyBorder="1" applyAlignment="1">
      <alignment horizontal="left"/>
    </xf>
    <xf numFmtId="0" fontId="20" fillId="0" borderId="0" xfId="0" applyFont="1"/>
    <xf numFmtId="0" fontId="22" fillId="0" borderId="15" xfId="0" applyFont="1" applyBorder="1" applyAlignment="1">
      <alignment horizontal="left"/>
    </xf>
    <xf numFmtId="1" fontId="25" fillId="0" borderId="1" xfId="0" applyNumberFormat="1" applyFont="1" applyBorder="1" applyAlignment="1">
      <alignment horizontal="left" vertical="center"/>
    </xf>
    <xf numFmtId="0" fontId="26" fillId="0" borderId="3" xfId="0" applyFont="1" applyBorder="1" applyAlignment="1">
      <alignment horizontal="left"/>
    </xf>
    <xf numFmtId="0" fontId="26" fillId="0" borderId="0" xfId="0" applyFont="1" applyAlignment="1">
      <alignment horizontal="left"/>
    </xf>
    <xf numFmtId="2" fontId="26" fillId="0" borderId="3" xfId="0" applyNumberFormat="1" applyFont="1" applyBorder="1" applyAlignment="1">
      <alignment horizontal="left"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3" xfId="0" applyNumberFormat="1" applyFont="1" applyBorder="1" applyAlignment="1">
      <alignment horizontal="left"/>
    </xf>
    <xf numFmtId="2" fontId="26" fillId="0" borderId="13" xfId="0" applyNumberFormat="1" applyFont="1" applyBorder="1" applyAlignment="1">
      <alignment horizontal="left"/>
    </xf>
    <xf numFmtId="1" fontId="26" fillId="0" borderId="1" xfId="0" applyNumberFormat="1" applyFont="1" applyBorder="1" applyAlignment="1">
      <alignment horizontal="left"/>
    </xf>
    <xf numFmtId="1" fontId="26" fillId="0" borderId="2" xfId="0" applyNumberFormat="1" applyFont="1" applyBorder="1" applyAlignment="1">
      <alignment horizontal="left"/>
    </xf>
    <xf numFmtId="1" fontId="26" fillId="0" borderId="3" xfId="0" applyNumberFormat="1" applyFont="1" applyBorder="1" applyAlignment="1">
      <alignment horizontal="left"/>
    </xf>
    <xf numFmtId="2" fontId="26" fillId="0" borderId="1" xfId="2" applyNumberFormat="1" applyFont="1" applyBorder="1" applyAlignment="1">
      <alignment horizontal="left"/>
    </xf>
    <xf numFmtId="2" fontId="26" fillId="0" borderId="3" xfId="2" applyNumberFormat="1" applyFont="1" applyBorder="1" applyAlignment="1">
      <alignment horizontal="left"/>
    </xf>
    <xf numFmtId="2" fontId="26" fillId="0" borderId="1" xfId="0" applyNumberFormat="1" applyFont="1" applyBorder="1" applyAlignment="1">
      <alignment horizontal="left" wrapText="1"/>
    </xf>
    <xf numFmtId="2" fontId="26" fillId="0" borderId="2" xfId="1" applyNumberFormat="1" applyFont="1" applyBorder="1" applyAlignment="1">
      <alignment horizontal="left"/>
    </xf>
    <xf numFmtId="2" fontId="25" fillId="0" borderId="1" xfId="0" applyNumberFormat="1" applyFont="1" applyBorder="1" applyAlignment="1">
      <alignment horizontal="left"/>
    </xf>
    <xf numFmtId="2" fontId="25" fillId="0" borderId="16" xfId="0" applyNumberFormat="1" applyFont="1" applyBorder="1" applyAlignment="1">
      <alignment horizontal="left"/>
    </xf>
    <xf numFmtId="1" fontId="26" fillId="0" borderId="2" xfId="0" applyNumberFormat="1" applyFont="1" applyBorder="1" applyAlignment="1">
      <alignment horizontal="left" vertical="center"/>
    </xf>
    <xf numFmtId="1" fontId="26" fillId="0" borderId="3" xfId="0" applyNumberFormat="1" applyFont="1" applyBorder="1" applyAlignment="1">
      <alignment horizontal="left" vertical="center"/>
    </xf>
    <xf numFmtId="1" fontId="26" fillId="0" borderId="13" xfId="0" applyNumberFormat="1" applyFont="1" applyBorder="1" applyAlignment="1">
      <alignment horizontal="left"/>
    </xf>
    <xf numFmtId="1" fontId="26" fillId="0" borderId="0" xfId="0" applyNumberFormat="1" applyFont="1" applyBorder="1" applyAlignment="1">
      <alignment horizontal="left"/>
    </xf>
    <xf numFmtId="1" fontId="26" fillId="0" borderId="17" xfId="0" applyNumberFormat="1" applyFont="1" applyBorder="1" applyAlignment="1">
      <alignment horizontal="left"/>
    </xf>
    <xf numFmtId="1" fontId="26" fillId="0" borderId="6" xfId="0" applyNumberFormat="1" applyFont="1" applyBorder="1" applyAlignment="1">
      <alignment horizontal="left"/>
    </xf>
    <xf numFmtId="1" fontId="26" fillId="0" borderId="2" xfId="2" applyNumberFormat="1" applyFont="1" applyBorder="1" applyAlignment="1">
      <alignment horizontal="left"/>
    </xf>
    <xf numFmtId="1" fontId="26" fillId="0" borderId="3" xfId="2" applyNumberFormat="1" applyFont="1" applyBorder="1" applyAlignment="1">
      <alignment horizontal="left"/>
    </xf>
    <xf numFmtId="1" fontId="26" fillId="0" borderId="2" xfId="0" applyNumberFormat="1" applyFont="1" applyFill="1" applyBorder="1" applyAlignment="1">
      <alignment horizontal="left"/>
    </xf>
    <xf numFmtId="1" fontId="26" fillId="0" borderId="1" xfId="1" applyNumberFormat="1" applyFont="1" applyBorder="1" applyAlignment="1">
      <alignment horizontal="left"/>
    </xf>
    <xf numFmtId="1" fontId="26" fillId="0" borderId="2" xfId="1" applyNumberFormat="1" applyFont="1" applyBorder="1" applyAlignment="1">
      <alignment horizontal="left"/>
    </xf>
    <xf numFmtId="1" fontId="26" fillId="0" borderId="3" xfId="1" applyNumberFormat="1" applyFont="1" applyBorder="1" applyAlignment="1">
      <alignment horizontal="left"/>
    </xf>
    <xf numFmtId="1" fontId="25" fillId="0" borderId="1" xfId="0" applyNumberFormat="1" applyFont="1" applyBorder="1" applyAlignment="1">
      <alignment horizontal="left"/>
    </xf>
    <xf numFmtId="1" fontId="25" fillId="0" borderId="15" xfId="0" applyNumberFormat="1" applyFont="1" applyBorder="1" applyAlignment="1">
      <alignment horizontal="left"/>
    </xf>
    <xf numFmtId="0" fontId="27" fillId="0" borderId="15" xfId="0" applyFont="1" applyBorder="1" applyAlignment="1">
      <alignment horizontal="left"/>
    </xf>
    <xf numFmtId="1" fontId="25" fillId="0" borderId="4" xfId="0" applyNumberFormat="1" applyFont="1" applyBorder="1" applyAlignment="1">
      <alignment horizontal="left" vertical="center"/>
    </xf>
    <xf numFmtId="1" fontId="25" fillId="0" borderId="2" xfId="0" applyNumberFormat="1" applyFont="1" applyBorder="1" applyAlignment="1">
      <alignment horizontal="left"/>
    </xf>
    <xf numFmtId="1" fontId="25" fillId="0" borderId="13" xfId="0" applyNumberFormat="1" applyFont="1" applyBorder="1" applyAlignment="1">
      <alignment horizontal="left"/>
    </xf>
    <xf numFmtId="1" fontId="20" fillId="0" borderId="0" xfId="0" applyNumberFormat="1" applyFont="1" applyAlignment="1">
      <alignment horizontal="left"/>
    </xf>
    <xf numFmtId="2" fontId="26" fillId="0" borderId="1" xfId="0" applyNumberFormat="1" applyFont="1" applyBorder="1" applyAlignment="1">
      <alignment horizontal="left" vertical="center"/>
    </xf>
    <xf numFmtId="2" fontId="26" fillId="0" borderId="4" xfId="0" applyNumberFormat="1" applyFont="1" applyBorder="1" applyAlignment="1">
      <alignment horizontal="left"/>
    </xf>
    <xf numFmtId="1" fontId="26" fillId="0" borderId="4" xfId="0" applyNumberFormat="1" applyFont="1" applyBorder="1" applyAlignment="1">
      <alignment horizontal="left"/>
    </xf>
    <xf numFmtId="1" fontId="25" fillId="0" borderId="4" xfId="0" applyNumberFormat="1" applyFont="1" applyBorder="1" applyAlignment="1">
      <alignment horizontal="left"/>
    </xf>
    <xf numFmtId="1" fontId="25" fillId="0" borderId="18" xfId="0" applyNumberFormat="1" applyFont="1" applyBorder="1" applyAlignment="1">
      <alignment horizontal="left"/>
    </xf>
    <xf numFmtId="1" fontId="25" fillId="0" borderId="16" xfId="0" applyNumberFormat="1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2" fontId="25" fillId="0" borderId="1" xfId="0" applyNumberFormat="1" applyFont="1" applyBorder="1" applyAlignment="1">
      <alignment horizontal="left" vertical="center"/>
    </xf>
    <xf numFmtId="2" fontId="25" fillId="0" borderId="4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2" fontId="26" fillId="0" borderId="19" xfId="0" applyNumberFormat="1" applyFont="1" applyBorder="1" applyAlignment="1">
      <alignment horizontal="left" vertical="center"/>
    </xf>
    <xf numFmtId="2" fontId="26" fillId="0" borderId="20" xfId="0" applyNumberFormat="1" applyFont="1" applyBorder="1" applyAlignment="1">
      <alignment horizontal="left"/>
    </xf>
    <xf numFmtId="1" fontId="26" fillId="0" borderId="20" xfId="0" applyNumberFormat="1" applyFont="1" applyBorder="1" applyAlignment="1">
      <alignment horizontal="left"/>
    </xf>
    <xf numFmtId="1" fontId="26" fillId="0" borderId="21" xfId="0" applyNumberFormat="1" applyFont="1" applyBorder="1" applyAlignment="1">
      <alignment horizontal="left"/>
    </xf>
    <xf numFmtId="2" fontId="26" fillId="0" borderId="19" xfId="0" applyNumberFormat="1" applyFont="1" applyBorder="1" applyAlignment="1">
      <alignment horizontal="left"/>
    </xf>
    <xf numFmtId="1" fontId="26" fillId="0" borderId="19" xfId="0" applyNumberFormat="1" applyFont="1" applyBorder="1" applyAlignment="1">
      <alignment horizontal="left"/>
    </xf>
    <xf numFmtId="2" fontId="26" fillId="0" borderId="19" xfId="2" applyNumberFormat="1" applyFont="1" applyBorder="1" applyAlignment="1">
      <alignment horizontal="left"/>
    </xf>
    <xf numFmtId="1" fontId="26" fillId="0" borderId="21" xfId="0" applyNumberFormat="1" applyFont="1" applyFill="1" applyBorder="1" applyAlignment="1">
      <alignment horizontal="left"/>
    </xf>
    <xf numFmtId="1" fontId="26" fillId="0" borderId="19" xfId="1" applyNumberFormat="1" applyFont="1" applyBorder="1" applyAlignment="1">
      <alignment horizontal="left"/>
    </xf>
    <xf numFmtId="1" fontId="26" fillId="0" borderId="21" xfId="1" applyNumberFormat="1" applyFont="1" applyBorder="1" applyAlignment="1">
      <alignment horizontal="left"/>
    </xf>
    <xf numFmtId="1" fontId="25" fillId="0" borderId="19" xfId="0" applyNumberFormat="1" applyFont="1" applyBorder="1" applyAlignment="1">
      <alignment horizontal="left"/>
    </xf>
    <xf numFmtId="1" fontId="25" fillId="0" borderId="20" xfId="0" applyNumberFormat="1" applyFont="1" applyBorder="1" applyAlignment="1">
      <alignment horizontal="left"/>
    </xf>
    <xf numFmtId="0" fontId="26" fillId="0" borderId="22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24" xfId="0" applyFont="1" applyBorder="1" applyAlignment="1">
      <alignment horizontal="left"/>
    </xf>
    <xf numFmtId="1" fontId="26" fillId="0" borderId="24" xfId="0" applyNumberFormat="1" applyFont="1" applyBorder="1" applyAlignment="1">
      <alignment horizontal="left"/>
    </xf>
    <xf numFmtId="1" fontId="26" fillId="0" borderId="23" xfId="0" applyNumberFormat="1" applyFont="1" applyBorder="1" applyAlignment="1">
      <alignment horizontal="left"/>
    </xf>
    <xf numFmtId="1" fontId="26" fillId="0" borderId="22" xfId="0" applyNumberFormat="1" applyFont="1" applyBorder="1" applyAlignment="1">
      <alignment horizontal="left"/>
    </xf>
    <xf numFmtId="1" fontId="25" fillId="0" borderId="25" xfId="0" applyNumberFormat="1" applyFont="1" applyBorder="1" applyAlignment="1">
      <alignment horizontal="left"/>
    </xf>
    <xf numFmtId="1" fontId="25" fillId="0" borderId="26" xfId="0" applyNumberFormat="1" applyFont="1" applyBorder="1" applyAlignment="1">
      <alignment horizontal="left"/>
    </xf>
    <xf numFmtId="0" fontId="26" fillId="0" borderId="17" xfId="0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left"/>
    </xf>
    <xf numFmtId="0" fontId="27" fillId="0" borderId="27" xfId="0" applyFont="1" applyBorder="1" applyAlignment="1">
      <alignment horizontal="left"/>
    </xf>
    <xf numFmtId="0" fontId="15" fillId="0" borderId="0" xfId="0" applyFont="1"/>
    <xf numFmtId="0" fontId="27" fillId="0" borderId="28" xfId="0" applyFont="1" applyBorder="1" applyAlignment="1">
      <alignment horizontal="left"/>
    </xf>
    <xf numFmtId="0" fontId="25" fillId="0" borderId="7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1" fontId="25" fillId="0" borderId="9" xfId="0" applyNumberFormat="1" applyFont="1" applyBorder="1" applyAlignment="1">
      <alignment horizontal="left" vertical="center"/>
    </xf>
    <xf numFmtId="1" fontId="25" fillId="0" borderId="8" xfId="0" applyNumberFormat="1" applyFont="1" applyBorder="1" applyAlignment="1">
      <alignment horizontal="left" vertical="center"/>
    </xf>
    <xf numFmtId="1" fontId="25" fillId="0" borderId="5" xfId="0" applyNumberFormat="1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1" fontId="25" fillId="0" borderId="7" xfId="0" applyNumberFormat="1" applyFont="1" applyBorder="1" applyAlignment="1">
      <alignment horizontal="left" vertical="center"/>
    </xf>
    <xf numFmtId="1" fontId="25" fillId="0" borderId="29" xfId="0" applyNumberFormat="1" applyFont="1" applyBorder="1" applyAlignment="1">
      <alignment horizontal="left" vertical="center"/>
    </xf>
    <xf numFmtId="1" fontId="26" fillId="0" borderId="9" xfId="0" applyNumberFormat="1" applyFont="1" applyBorder="1" applyAlignment="1">
      <alignment horizontal="left"/>
    </xf>
    <xf numFmtId="1" fontId="26" fillId="0" borderId="0" xfId="0" applyNumberFormat="1" applyFont="1"/>
    <xf numFmtId="1" fontId="22" fillId="0" borderId="13" xfId="0" applyNumberFormat="1" applyFont="1" applyBorder="1" applyAlignment="1">
      <alignment horizontal="left"/>
    </xf>
    <xf numFmtId="1" fontId="27" fillId="0" borderId="13" xfId="0" applyNumberFormat="1" applyFont="1" applyBorder="1" applyAlignment="1">
      <alignment horizontal="left"/>
    </xf>
    <xf numFmtId="1" fontId="21" fillId="0" borderId="4" xfId="0" applyNumberFormat="1" applyFont="1" applyBorder="1" applyAlignment="1">
      <alignment horizontal="left"/>
    </xf>
    <xf numFmtId="1" fontId="21" fillId="0" borderId="2" xfId="0" applyNumberFormat="1" applyFont="1" applyBorder="1" applyAlignment="1">
      <alignment horizontal="left"/>
    </xf>
    <xf numFmtId="1" fontId="27" fillId="0" borderId="2" xfId="0" applyNumberFormat="1" applyFont="1" applyBorder="1" applyAlignment="1">
      <alignment horizontal="left"/>
    </xf>
    <xf numFmtId="1" fontId="21" fillId="0" borderId="20" xfId="0" applyNumberFormat="1" applyFont="1" applyBorder="1" applyAlignment="1">
      <alignment horizontal="left"/>
    </xf>
    <xf numFmtId="1" fontId="16" fillId="0" borderId="1" xfId="1" applyNumberFormat="1" applyFont="1" applyBorder="1" applyAlignment="1">
      <alignment horizontal="left"/>
    </xf>
    <xf numFmtId="2" fontId="16" fillId="0" borderId="13" xfId="0" applyNumberFormat="1" applyFont="1" applyBorder="1" applyAlignment="1">
      <alignment horizontal="left"/>
    </xf>
    <xf numFmtId="2" fontId="16" fillId="0" borderId="1" xfId="2" applyNumberFormat="1" applyFont="1" applyBorder="1" applyAlignment="1">
      <alignment horizontal="left"/>
    </xf>
    <xf numFmtId="1" fontId="16" fillId="0" borderId="0" xfId="0" applyNumberFormat="1" applyFont="1" applyFill="1" applyAlignment="1">
      <alignment horizontal="left"/>
    </xf>
    <xf numFmtId="1" fontId="16" fillId="0" borderId="0" xfId="0" applyNumberFormat="1" applyFont="1"/>
    <xf numFmtId="1" fontId="16" fillId="0" borderId="30" xfId="0" applyNumberFormat="1" applyFont="1" applyBorder="1" applyAlignment="1">
      <alignment horizontal="left"/>
    </xf>
    <xf numFmtId="0" fontId="25" fillId="0" borderId="31" xfId="0" applyFont="1" applyBorder="1" applyAlignment="1">
      <alignment horizontal="left" vertical="center"/>
    </xf>
    <xf numFmtId="0" fontId="25" fillId="0" borderId="32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1" fontId="26" fillId="0" borderId="4" xfId="0" applyNumberFormat="1" applyFont="1" applyFill="1" applyBorder="1" applyAlignment="1">
      <alignment horizontal="left"/>
    </xf>
    <xf numFmtId="1" fontId="26" fillId="0" borderId="20" xfId="0" applyNumberFormat="1" applyFont="1" applyFill="1" applyBorder="1" applyAlignment="1">
      <alignment horizontal="left"/>
    </xf>
    <xf numFmtId="1" fontId="22" fillId="0" borderId="2" xfId="0" applyNumberFormat="1" applyFont="1" applyBorder="1" applyAlignment="1">
      <alignment horizontal="left"/>
    </xf>
    <xf numFmtId="1" fontId="22" fillId="0" borderId="1" xfId="0" applyNumberFormat="1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2" fontId="16" fillId="0" borderId="4" xfId="0" applyNumberFormat="1" applyFont="1" applyBorder="1" applyAlignment="1">
      <alignment horizontal="left" vertical="center"/>
    </xf>
    <xf numFmtId="0" fontId="22" fillId="0" borderId="35" xfId="0" applyFont="1" applyBorder="1" applyAlignment="1">
      <alignment horizontal="left"/>
    </xf>
    <xf numFmtId="2" fontId="23" fillId="0" borderId="15" xfId="0" applyNumberFormat="1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2" fontId="21" fillId="0" borderId="19" xfId="0" applyNumberFormat="1" applyFont="1" applyBorder="1" applyAlignment="1">
      <alignment horizontal="left"/>
    </xf>
    <xf numFmtId="2" fontId="21" fillId="0" borderId="21" xfId="0" applyNumberFormat="1" applyFont="1" applyBorder="1" applyAlignment="1">
      <alignment horizontal="left"/>
    </xf>
    <xf numFmtId="2" fontId="21" fillId="0" borderId="36" xfId="0" applyNumberFormat="1" applyFont="1" applyBorder="1" applyAlignment="1">
      <alignment horizontal="left"/>
    </xf>
    <xf numFmtId="2" fontId="21" fillId="0" borderId="20" xfId="0" applyNumberFormat="1" applyFont="1" applyBorder="1" applyAlignment="1">
      <alignment horizontal="left"/>
    </xf>
    <xf numFmtId="2" fontId="21" fillId="0" borderId="19" xfId="0" applyNumberFormat="1" applyFont="1" applyFill="1" applyBorder="1" applyAlignment="1">
      <alignment horizontal="left"/>
    </xf>
    <xf numFmtId="2" fontId="21" fillId="0" borderId="21" xfId="0" applyNumberFormat="1" applyFont="1" applyFill="1" applyBorder="1" applyAlignment="1">
      <alignment horizontal="left"/>
    </xf>
    <xf numFmtId="2" fontId="21" fillId="0" borderId="21" xfId="1" applyNumberFormat="1" applyFont="1" applyBorder="1" applyAlignment="1">
      <alignment horizontal="left"/>
    </xf>
    <xf numFmtId="2" fontId="21" fillId="0" borderId="19" xfId="1" applyNumberFormat="1" applyFont="1" applyBorder="1" applyAlignment="1">
      <alignment horizontal="left"/>
    </xf>
    <xf numFmtId="2" fontId="23" fillId="0" borderId="19" xfId="0" applyNumberFormat="1" applyFont="1" applyBorder="1" applyAlignment="1">
      <alignment horizontal="left"/>
    </xf>
    <xf numFmtId="2" fontId="23" fillId="0" borderId="27" xfId="0" applyNumberFormat="1" applyFont="1" applyBorder="1" applyAlignment="1">
      <alignment horizontal="left"/>
    </xf>
    <xf numFmtId="2" fontId="21" fillId="0" borderId="37" xfId="0" applyNumberFormat="1" applyFont="1" applyBorder="1" applyAlignment="1">
      <alignment horizontal="left"/>
    </xf>
    <xf numFmtId="2" fontId="21" fillId="0" borderId="38" xfId="0" applyNumberFormat="1" applyFont="1" applyBorder="1" applyAlignment="1">
      <alignment horizontal="left"/>
    </xf>
    <xf numFmtId="2" fontId="21" fillId="0" borderId="39" xfId="0" applyNumberFormat="1" applyFont="1" applyBorder="1" applyAlignment="1">
      <alignment horizontal="left"/>
    </xf>
    <xf numFmtId="2" fontId="21" fillId="0" borderId="40" xfId="0" applyNumberFormat="1" applyFont="1" applyBorder="1" applyAlignment="1">
      <alignment horizontal="left"/>
    </xf>
    <xf numFmtId="2" fontId="21" fillId="0" borderId="37" xfId="0" applyNumberFormat="1" applyFont="1" applyFill="1" applyBorder="1" applyAlignment="1">
      <alignment horizontal="left"/>
    </xf>
    <xf numFmtId="2" fontId="21" fillId="0" borderId="38" xfId="0" applyNumberFormat="1" applyFont="1" applyFill="1" applyBorder="1" applyAlignment="1">
      <alignment horizontal="left"/>
    </xf>
    <xf numFmtId="2" fontId="21" fillId="0" borderId="38" xfId="1" applyNumberFormat="1" applyFont="1" applyBorder="1" applyAlignment="1">
      <alignment horizontal="left"/>
    </xf>
    <xf numFmtId="2" fontId="21" fillId="0" borderId="37" xfId="1" applyNumberFormat="1" applyFont="1" applyBorder="1" applyAlignment="1">
      <alignment horizontal="left"/>
    </xf>
    <xf numFmtId="2" fontId="23" fillId="0" borderId="37" xfId="0" applyNumberFormat="1" applyFont="1" applyBorder="1" applyAlignment="1">
      <alignment horizontal="left"/>
    </xf>
    <xf numFmtId="2" fontId="23" fillId="0" borderId="41" xfId="0" applyNumberFormat="1" applyFont="1" applyBorder="1" applyAlignment="1">
      <alignment horizontal="left"/>
    </xf>
    <xf numFmtId="2" fontId="16" fillId="0" borderId="20" xfId="0" applyNumberFormat="1" applyFont="1" applyBorder="1" applyAlignment="1">
      <alignment horizontal="left" vertical="center"/>
    </xf>
    <xf numFmtId="2" fontId="16" fillId="0" borderId="19" xfId="0" applyNumberFormat="1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2" fontId="16" fillId="0" borderId="20" xfId="0" applyNumberFormat="1" applyFont="1" applyBorder="1" applyAlignment="1">
      <alignment horizontal="left"/>
    </xf>
    <xf numFmtId="2" fontId="16" fillId="0" borderId="21" xfId="0" applyNumberFormat="1" applyFont="1" applyBorder="1" applyAlignment="1">
      <alignment horizontal="left"/>
    </xf>
    <xf numFmtId="165" fontId="22" fillId="0" borderId="21" xfId="0" applyNumberFormat="1" applyFont="1" applyBorder="1" applyAlignment="1">
      <alignment horizontal="left"/>
    </xf>
    <xf numFmtId="0" fontId="26" fillId="0" borderId="41" xfId="0" applyFont="1" applyBorder="1" applyAlignment="1">
      <alignment horizontal="left"/>
    </xf>
    <xf numFmtId="2" fontId="17" fillId="0" borderId="40" xfId="0" applyNumberFormat="1" applyFont="1" applyBorder="1" applyAlignment="1">
      <alignment horizontal="left" vertical="center"/>
    </xf>
    <xf numFmtId="2" fontId="17" fillId="0" borderId="38" xfId="0" applyNumberFormat="1" applyFont="1" applyBorder="1" applyAlignment="1">
      <alignment horizontal="left" vertical="center"/>
    </xf>
    <xf numFmtId="2" fontId="17" fillId="0" borderId="37" xfId="0" applyNumberFormat="1" applyFont="1" applyBorder="1" applyAlignment="1">
      <alignment horizontal="left"/>
    </xf>
    <xf numFmtId="0" fontId="17" fillId="0" borderId="38" xfId="0" applyFont="1" applyBorder="1" applyAlignment="1">
      <alignment horizontal="left"/>
    </xf>
    <xf numFmtId="2" fontId="17" fillId="0" borderId="38" xfId="0" applyNumberFormat="1" applyFont="1" applyBorder="1" applyAlignment="1">
      <alignment horizontal="left"/>
    </xf>
    <xf numFmtId="0" fontId="26" fillId="0" borderId="38" xfId="0" applyFont="1" applyBorder="1" applyAlignment="1">
      <alignment horizontal="left"/>
    </xf>
    <xf numFmtId="1" fontId="4" fillId="0" borderId="15" xfId="0" applyNumberFormat="1" applyFont="1" applyFill="1" applyBorder="1" applyAlignment="1">
      <alignment horizontal="left" vertical="top" wrapText="1"/>
    </xf>
    <xf numFmtId="1" fontId="4" fillId="0" borderId="42" xfId="0" applyNumberFormat="1" applyFont="1" applyFill="1" applyBorder="1" applyAlignment="1">
      <alignment horizontal="left" vertical="top" wrapText="1"/>
    </xf>
    <xf numFmtId="2" fontId="17" fillId="0" borderId="31" xfId="0" applyNumberFormat="1" applyFont="1" applyBorder="1" applyAlignment="1">
      <alignment horizontal="left"/>
    </xf>
    <xf numFmtId="2" fontId="17" fillId="0" borderId="32" xfId="0" applyNumberFormat="1" applyFont="1" applyBorder="1" applyAlignment="1">
      <alignment horizontal="left"/>
    </xf>
    <xf numFmtId="2" fontId="16" fillId="0" borderId="33" xfId="0" applyNumberFormat="1" applyFont="1" applyBorder="1" applyAlignment="1">
      <alignment horizontal="left"/>
    </xf>
    <xf numFmtId="2" fontId="16" fillId="0" borderId="1" xfId="1" applyNumberFormat="1" applyFont="1" applyBorder="1" applyAlignment="1">
      <alignment horizontal="left"/>
    </xf>
    <xf numFmtId="2" fontId="16" fillId="0" borderId="12" xfId="1" applyNumberFormat="1" applyFont="1" applyBorder="1" applyAlignment="1">
      <alignment horizontal="left"/>
    </xf>
    <xf numFmtId="2" fontId="17" fillId="0" borderId="7" xfId="0" applyNumberFormat="1" applyFont="1" applyBorder="1" applyAlignment="1">
      <alignment horizontal="left" vertical="center"/>
    </xf>
    <xf numFmtId="2" fontId="17" fillId="0" borderId="9" xfId="0" applyNumberFormat="1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1" fontId="16" fillId="0" borderId="6" xfId="0" applyNumberFormat="1" applyFont="1" applyBorder="1" applyAlignment="1">
      <alignment horizontal="left"/>
    </xf>
    <xf numFmtId="2" fontId="16" fillId="0" borderId="1" xfId="0" applyNumberFormat="1" applyFont="1" applyBorder="1" applyAlignment="1">
      <alignment horizontal="left" vertical="center"/>
    </xf>
    <xf numFmtId="2" fontId="19" fillId="0" borderId="35" xfId="0" applyNumberFormat="1" applyFont="1" applyFill="1" applyBorder="1" applyAlignment="1">
      <alignment horizontal="left" vertical="center" wrapText="1"/>
    </xf>
    <xf numFmtId="2" fontId="16" fillId="0" borderId="3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1" fontId="17" fillId="0" borderId="7" xfId="0" applyNumberFormat="1" applyFont="1" applyBorder="1" applyAlignment="1">
      <alignment horizontal="left"/>
    </xf>
    <xf numFmtId="1" fontId="16" fillId="0" borderId="7" xfId="1" applyNumberFormat="1" applyFont="1" applyBorder="1" applyAlignment="1">
      <alignment horizontal="left"/>
    </xf>
    <xf numFmtId="2" fontId="16" fillId="0" borderId="31" xfId="0" applyNumberFormat="1" applyFont="1" applyBorder="1" applyAlignment="1">
      <alignment horizontal="left" wrapText="1"/>
    </xf>
    <xf numFmtId="2" fontId="16" fillId="0" borderId="1" xfId="0" applyNumberFormat="1" applyFont="1" applyBorder="1" applyAlignment="1">
      <alignment horizontal="left" wrapText="1"/>
    </xf>
    <xf numFmtId="1" fontId="24" fillId="0" borderId="14" xfId="0" applyNumberFormat="1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2" fontId="16" fillId="0" borderId="8" xfId="0" applyNumberFormat="1" applyFont="1" applyBorder="1" applyAlignment="1">
      <alignment horizontal="left" vertical="center"/>
    </xf>
    <xf numFmtId="2" fontId="16" fillId="0" borderId="5" xfId="0" applyNumberFormat="1" applyFont="1" applyBorder="1" applyAlignment="1">
      <alignment horizontal="left" vertical="center"/>
    </xf>
    <xf numFmtId="2" fontId="21" fillId="0" borderId="7" xfId="0" applyNumberFormat="1" applyFont="1" applyBorder="1" applyAlignment="1">
      <alignment horizontal="left"/>
    </xf>
    <xf numFmtId="2" fontId="21" fillId="0" borderId="5" xfId="0" applyNumberFormat="1" applyFont="1" applyBorder="1" applyAlignment="1">
      <alignment horizontal="left"/>
    </xf>
    <xf numFmtId="2" fontId="21" fillId="0" borderId="29" xfId="0" applyNumberFormat="1" applyFont="1" applyBorder="1" applyAlignment="1">
      <alignment horizontal="left"/>
    </xf>
    <xf numFmtId="2" fontId="21" fillId="0" borderId="8" xfId="0" applyNumberFormat="1" applyFont="1" applyBorder="1" applyAlignment="1">
      <alignment horizontal="left"/>
    </xf>
    <xf numFmtId="2" fontId="16" fillId="0" borderId="7" xfId="0" applyNumberFormat="1" applyFont="1" applyBorder="1" applyAlignment="1">
      <alignment horizontal="left"/>
    </xf>
    <xf numFmtId="165" fontId="22" fillId="0" borderId="5" xfId="0" applyNumberFormat="1" applyFont="1" applyBorder="1" applyAlignment="1">
      <alignment horizontal="left"/>
    </xf>
    <xf numFmtId="2" fontId="21" fillId="0" borderId="7" xfId="0" applyNumberFormat="1" applyFont="1" applyFill="1" applyBorder="1" applyAlignment="1">
      <alignment horizontal="left"/>
    </xf>
    <xf numFmtId="2" fontId="21" fillId="0" borderId="5" xfId="0" applyNumberFormat="1" applyFont="1" applyFill="1" applyBorder="1" applyAlignment="1">
      <alignment horizontal="left"/>
    </xf>
    <xf numFmtId="2" fontId="21" fillId="0" borderId="5" xfId="1" applyNumberFormat="1" applyFont="1" applyBorder="1" applyAlignment="1">
      <alignment horizontal="left"/>
    </xf>
    <xf numFmtId="2" fontId="21" fillId="0" borderId="7" xfId="1" applyNumberFormat="1" applyFont="1" applyBorder="1" applyAlignment="1">
      <alignment horizontal="left"/>
    </xf>
    <xf numFmtId="2" fontId="23" fillId="0" borderId="7" xfId="0" applyNumberFormat="1" applyFont="1" applyBorder="1" applyAlignment="1">
      <alignment horizontal="left"/>
    </xf>
    <xf numFmtId="2" fontId="23" fillId="0" borderId="28" xfId="0" applyNumberFormat="1" applyFont="1" applyBorder="1" applyAlignment="1">
      <alignment horizontal="left"/>
    </xf>
    <xf numFmtId="0" fontId="26" fillId="0" borderId="43" xfId="0" applyFont="1" applyBorder="1" applyAlignment="1">
      <alignment horizontal="left"/>
    </xf>
    <xf numFmtId="0" fontId="26" fillId="0" borderId="44" xfId="0" applyFont="1" applyBorder="1" applyAlignment="1">
      <alignment horizontal="left"/>
    </xf>
    <xf numFmtId="1" fontId="25" fillId="0" borderId="45" xfId="0" applyNumberFormat="1" applyFont="1" applyBorder="1" applyAlignment="1">
      <alignment horizontal="left"/>
    </xf>
    <xf numFmtId="1" fontId="25" fillId="0" borderId="43" xfId="0" applyNumberFormat="1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0" fontId="22" fillId="0" borderId="46" xfId="0" applyFont="1" applyBorder="1" applyAlignment="1">
      <alignment horizontal="left"/>
    </xf>
    <xf numFmtId="0" fontId="25" fillId="0" borderId="15" xfId="0" applyFont="1" applyBorder="1" applyAlignment="1">
      <alignment horizontal="left"/>
    </xf>
    <xf numFmtId="1" fontId="22" fillId="0" borderId="29" xfId="0" applyNumberFormat="1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5" fillId="0" borderId="10" xfId="0" applyFont="1" applyBorder="1" applyAlignment="1">
      <alignment horizontal="left" vertical="center"/>
    </xf>
    <xf numFmtId="0" fontId="26" fillId="0" borderId="9" xfId="0" applyFont="1" applyBorder="1" applyAlignment="1">
      <alignment horizontal="left"/>
    </xf>
    <xf numFmtId="1" fontId="26" fillId="0" borderId="1" xfId="0" applyNumberFormat="1" applyFont="1" applyBorder="1" applyAlignment="1">
      <alignment horizontal="left" vertical="center"/>
    </xf>
    <xf numFmtId="2" fontId="26" fillId="0" borderId="4" xfId="0" applyNumberFormat="1" applyFont="1" applyFill="1" applyBorder="1" applyAlignment="1">
      <alignment horizontal="left"/>
    </xf>
    <xf numFmtId="2" fontId="26" fillId="0" borderId="4" xfId="1" applyNumberFormat="1" applyFont="1" applyBorder="1" applyAlignment="1">
      <alignment horizontal="left"/>
    </xf>
    <xf numFmtId="1" fontId="26" fillId="0" borderId="4" xfId="1" applyNumberFormat="1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2" fontId="28" fillId="0" borderId="1" xfId="0" applyNumberFormat="1" applyFont="1" applyBorder="1" applyAlignment="1">
      <alignment horizontal="left" vertical="center"/>
    </xf>
    <xf numFmtId="2" fontId="28" fillId="0" borderId="4" xfId="0" applyNumberFormat="1" applyFont="1" applyBorder="1" applyAlignment="1">
      <alignment horizontal="left" vertical="center"/>
    </xf>
    <xf numFmtId="2" fontId="28" fillId="0" borderId="16" xfId="0" applyNumberFormat="1" applyFont="1" applyBorder="1" applyAlignment="1">
      <alignment horizontal="left" vertical="center"/>
    </xf>
    <xf numFmtId="2" fontId="28" fillId="0" borderId="18" xfId="0" applyNumberFormat="1" applyFont="1" applyBorder="1" applyAlignment="1">
      <alignment horizontal="left" vertical="center"/>
    </xf>
    <xf numFmtId="2" fontId="28" fillId="0" borderId="2" xfId="0" applyNumberFormat="1" applyFont="1" applyBorder="1" applyAlignment="1">
      <alignment horizontal="left" vertical="center"/>
    </xf>
    <xf numFmtId="2" fontId="28" fillId="0" borderId="3" xfId="0" applyNumberFormat="1" applyFont="1" applyBorder="1" applyAlignment="1">
      <alignment horizontal="left" vertical="center"/>
    </xf>
    <xf numFmtId="2" fontId="28" fillId="0" borderId="7" xfId="0" applyNumberFormat="1" applyFont="1" applyBorder="1" applyAlignment="1">
      <alignment horizontal="left" vertical="center"/>
    </xf>
    <xf numFmtId="2" fontId="28" fillId="0" borderId="1" xfId="1" applyNumberFormat="1" applyFont="1" applyBorder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0" fillId="0" borderId="41" xfId="0" applyFont="1" applyBorder="1" applyAlignment="1">
      <alignment horizontal="left"/>
    </xf>
    <xf numFmtId="2" fontId="28" fillId="0" borderId="40" xfId="0" applyNumberFormat="1" applyFont="1" applyBorder="1" applyAlignment="1">
      <alignment horizontal="left" vertical="center"/>
    </xf>
    <xf numFmtId="2" fontId="28" fillId="0" borderId="47" xfId="0" applyNumberFormat="1" applyFont="1" applyBorder="1" applyAlignment="1">
      <alignment horizontal="left" vertical="center"/>
    </xf>
    <xf numFmtId="2" fontId="28" fillId="0" borderId="37" xfId="0" applyNumberFormat="1" applyFont="1" applyBorder="1" applyAlignment="1">
      <alignment horizontal="left" vertical="center"/>
    </xf>
    <xf numFmtId="2" fontId="28" fillId="0" borderId="48" xfId="0" applyNumberFormat="1" applyFont="1" applyBorder="1" applyAlignment="1">
      <alignment horizontal="left" vertical="center"/>
    </xf>
    <xf numFmtId="2" fontId="32" fillId="0" borderId="37" xfId="1" applyNumberFormat="1" applyFont="1" applyBorder="1" applyAlignment="1">
      <alignment horizontal="left"/>
    </xf>
    <xf numFmtId="2" fontId="32" fillId="0" borderId="37" xfId="0" applyNumberFormat="1" applyFont="1" applyBorder="1" applyAlignment="1">
      <alignment horizontal="left"/>
    </xf>
    <xf numFmtId="2" fontId="32" fillId="0" borderId="41" xfId="0" applyNumberFormat="1" applyFont="1" applyBorder="1" applyAlignment="1">
      <alignment horizontal="left"/>
    </xf>
    <xf numFmtId="0" fontId="33" fillId="0" borderId="0" xfId="0" applyFont="1" applyAlignment="1">
      <alignment horizontal="left"/>
    </xf>
    <xf numFmtId="0" fontId="30" fillId="0" borderId="49" xfId="0" applyFont="1" applyBorder="1" applyAlignment="1">
      <alignment horizontal="left"/>
    </xf>
    <xf numFmtId="2" fontId="28" fillId="0" borderId="50" xfId="0" applyNumberFormat="1" applyFont="1" applyBorder="1" applyAlignment="1">
      <alignment horizontal="left" vertical="center"/>
    </xf>
    <xf numFmtId="2" fontId="28" fillId="0" borderId="51" xfId="0" applyNumberFormat="1" applyFont="1" applyBorder="1" applyAlignment="1">
      <alignment horizontal="left" vertical="center"/>
    </xf>
    <xf numFmtId="2" fontId="28" fillId="0" borderId="52" xfId="0" applyNumberFormat="1" applyFont="1" applyBorder="1" applyAlignment="1">
      <alignment horizontal="left" vertical="center"/>
    </xf>
    <xf numFmtId="2" fontId="28" fillId="0" borderId="53" xfId="0" applyNumberFormat="1" applyFont="1" applyBorder="1" applyAlignment="1">
      <alignment horizontal="left" vertical="center"/>
    </xf>
    <xf numFmtId="2" fontId="32" fillId="0" borderId="52" xfId="0" applyNumberFormat="1" applyFont="1" applyBorder="1" applyAlignment="1">
      <alignment horizontal="left"/>
    </xf>
    <xf numFmtId="2" fontId="32" fillId="0" borderId="49" xfId="0" applyNumberFormat="1" applyFont="1" applyBorder="1" applyAlignment="1">
      <alignment horizontal="left"/>
    </xf>
    <xf numFmtId="0" fontId="16" fillId="0" borderId="0" xfId="0" applyFont="1"/>
    <xf numFmtId="0" fontId="19" fillId="0" borderId="15" xfId="0" applyFont="1" applyBorder="1" applyAlignment="1">
      <alignment horizontal="left"/>
    </xf>
    <xf numFmtId="0" fontId="20" fillId="0" borderId="54" xfId="0" applyFont="1" applyBorder="1"/>
    <xf numFmtId="0" fontId="20" fillId="0" borderId="16" xfId="0" applyFont="1" applyBorder="1"/>
    <xf numFmtId="0" fontId="19" fillId="0" borderId="35" xfId="0" applyFont="1" applyBorder="1" applyAlignment="1">
      <alignment horizontal="left"/>
    </xf>
    <xf numFmtId="0" fontId="20" fillId="0" borderId="55" xfId="0" applyFont="1" applyBorder="1"/>
    <xf numFmtId="0" fontId="20" fillId="0" borderId="18" xfId="0" applyFont="1" applyBorder="1"/>
    <xf numFmtId="0" fontId="20" fillId="0" borderId="35" xfId="0" applyFont="1" applyBorder="1"/>
    <xf numFmtId="0" fontId="20" fillId="0" borderId="15" xfId="0" applyFont="1" applyBorder="1"/>
    <xf numFmtId="0" fontId="20" fillId="0" borderId="56" xfId="0" applyFont="1" applyBorder="1"/>
    <xf numFmtId="0" fontId="20" fillId="0" borderId="4" xfId="0" applyFont="1" applyBorder="1"/>
    <xf numFmtId="0" fontId="21" fillId="0" borderId="0" xfId="0" applyFont="1"/>
    <xf numFmtId="2" fontId="21" fillId="0" borderId="15" xfId="0" applyNumberFormat="1" applyFont="1" applyBorder="1" applyAlignment="1">
      <alignment vertical="center"/>
    </xf>
    <xf numFmtId="2" fontId="23" fillId="0" borderId="15" xfId="0" applyNumberFormat="1" applyFont="1" applyBorder="1" applyAlignment="1">
      <alignment vertical="center"/>
    </xf>
    <xf numFmtId="2" fontId="21" fillId="0" borderId="16" xfId="0" applyNumberFormat="1" applyFont="1" applyBorder="1" applyAlignment="1">
      <alignment horizontal="right"/>
    </xf>
    <xf numFmtId="2" fontId="23" fillId="0" borderId="16" xfId="0" applyNumberFormat="1" applyFont="1" applyBorder="1" applyAlignment="1">
      <alignment horizontal="right"/>
    </xf>
    <xf numFmtId="0" fontId="27" fillId="0" borderId="46" xfId="0" applyFont="1" applyBorder="1" applyAlignment="1">
      <alignment horizontal="left"/>
    </xf>
    <xf numFmtId="0" fontId="27" fillId="0" borderId="57" xfId="0" applyFont="1" applyBorder="1" applyAlignment="1">
      <alignment horizontal="left"/>
    </xf>
    <xf numFmtId="0" fontId="23" fillId="0" borderId="10" xfId="0" applyFont="1" applyBorder="1" applyAlignment="1">
      <alignment horizontal="center" vertical="center"/>
    </xf>
    <xf numFmtId="0" fontId="20" fillId="0" borderId="57" xfId="0" applyFont="1" applyBorder="1"/>
    <xf numFmtId="0" fontId="20" fillId="0" borderId="46" xfId="0" applyFont="1" applyBorder="1"/>
    <xf numFmtId="0" fontId="23" fillId="0" borderId="28" xfId="0" applyFont="1" applyBorder="1" applyAlignment="1">
      <alignment horizontal="center" vertical="center"/>
    </xf>
    <xf numFmtId="2" fontId="21" fillId="0" borderId="15" xfId="0" applyNumberFormat="1" applyFont="1" applyBorder="1" applyAlignment="1">
      <alignment horizontal="right"/>
    </xf>
    <xf numFmtId="2" fontId="23" fillId="0" borderId="15" xfId="0" applyNumberFormat="1" applyFont="1" applyBorder="1" applyAlignment="1">
      <alignment horizontal="right"/>
    </xf>
    <xf numFmtId="0" fontId="17" fillId="0" borderId="10" xfId="0" applyFont="1" applyBorder="1" applyAlignment="1">
      <alignment horizontal="center" vertical="center"/>
    </xf>
    <xf numFmtId="2" fontId="16" fillId="0" borderId="16" xfId="0" applyNumberFormat="1" applyFont="1" applyBorder="1" applyAlignment="1">
      <alignment horizontal="right"/>
    </xf>
    <xf numFmtId="2" fontId="17" fillId="0" borderId="16" xfId="0" applyNumberFormat="1" applyFont="1" applyBorder="1" applyAlignment="1">
      <alignment horizontal="right"/>
    </xf>
    <xf numFmtId="0" fontId="16" fillId="0" borderId="17" xfId="0" applyFont="1" applyBorder="1" applyAlignment="1">
      <alignment horizontal="left"/>
    </xf>
    <xf numFmtId="2" fontId="16" fillId="0" borderId="16" xfId="0" applyNumberFormat="1" applyFont="1" applyBorder="1" applyAlignment="1">
      <alignment horizontal="left"/>
    </xf>
    <xf numFmtId="2" fontId="17" fillId="0" borderId="16" xfId="0" applyNumberFormat="1" applyFont="1" applyBorder="1" applyAlignment="1">
      <alignment horizontal="left"/>
    </xf>
    <xf numFmtId="2" fontId="26" fillId="0" borderId="16" xfId="0" applyNumberFormat="1" applyFont="1" applyBorder="1" applyAlignment="1">
      <alignment horizontal="left"/>
    </xf>
    <xf numFmtId="2" fontId="21" fillId="0" borderId="16" xfId="2" applyNumberFormat="1" applyFont="1" applyBorder="1" applyAlignment="1">
      <alignment horizontal="right"/>
    </xf>
    <xf numFmtId="2" fontId="21" fillId="0" borderId="16" xfId="1" applyNumberFormat="1" applyFont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 wrapText="1"/>
    </xf>
    <xf numFmtId="1" fontId="34" fillId="0" borderId="0" xfId="0" applyNumberFormat="1" applyFont="1" applyAlignment="1">
      <alignment horizontal="left"/>
    </xf>
    <xf numFmtId="0" fontId="35" fillId="0" borderId="0" xfId="0" applyFont="1" applyBorder="1" applyAlignment="1">
      <alignment horizontal="left"/>
    </xf>
    <xf numFmtId="1" fontId="17" fillId="0" borderId="8" xfId="0" applyNumberFormat="1" applyFont="1" applyBorder="1" applyAlignment="1">
      <alignment horizontal="left" vertical="center"/>
    </xf>
    <xf numFmtId="1" fontId="17" fillId="0" borderId="5" xfId="0" applyNumberFormat="1" applyFont="1" applyBorder="1" applyAlignment="1">
      <alignment horizontal="left" vertical="center"/>
    </xf>
    <xf numFmtId="1" fontId="17" fillId="0" borderId="9" xfId="0" applyNumberFormat="1" applyFont="1" applyBorder="1" applyAlignment="1">
      <alignment horizontal="left" vertical="center"/>
    </xf>
    <xf numFmtId="1" fontId="17" fillId="0" borderId="7" xfId="0" applyNumberFormat="1" applyFont="1" applyBorder="1" applyAlignment="1">
      <alignment horizontal="left" vertical="center"/>
    </xf>
    <xf numFmtId="1" fontId="17" fillId="0" borderId="28" xfId="0" applyNumberFormat="1" applyFont="1" applyBorder="1" applyAlignment="1">
      <alignment horizontal="left" vertical="center"/>
    </xf>
    <xf numFmtId="0" fontId="35" fillId="0" borderId="58" xfId="0" applyFont="1" applyBorder="1" applyAlignment="1">
      <alignment horizontal="left"/>
    </xf>
    <xf numFmtId="0" fontId="35" fillId="0" borderId="51" xfId="0" applyFont="1" applyBorder="1" applyAlignment="1">
      <alignment horizontal="left"/>
    </xf>
    <xf numFmtId="0" fontId="35" fillId="0" borderId="53" xfId="0" applyFont="1" applyBorder="1" applyAlignment="1">
      <alignment horizontal="left"/>
    </xf>
    <xf numFmtId="0" fontId="35" fillId="0" borderId="24" xfId="0" applyFont="1" applyBorder="1" applyAlignment="1">
      <alignment horizontal="left"/>
    </xf>
    <xf numFmtId="0" fontId="36" fillId="0" borderId="0" xfId="0" applyFont="1"/>
    <xf numFmtId="0" fontId="37" fillId="0" borderId="0" xfId="0" applyFont="1"/>
    <xf numFmtId="0" fontId="38" fillId="0" borderId="42" xfId="0" applyFont="1" applyBorder="1" applyAlignment="1">
      <alignment horizontal="left"/>
    </xf>
    <xf numFmtId="1" fontId="38" fillId="0" borderId="12" xfId="0" applyNumberFormat="1" applyFont="1" applyBorder="1" applyAlignment="1">
      <alignment horizontal="left" vertical="center"/>
    </xf>
    <xf numFmtId="1" fontId="38" fillId="0" borderId="30" xfId="0" applyNumberFormat="1" applyFont="1" applyBorder="1" applyAlignment="1">
      <alignment horizontal="left" vertical="center"/>
    </xf>
    <xf numFmtId="1" fontId="38" fillId="0" borderId="59" xfId="0" applyNumberFormat="1" applyFont="1" applyBorder="1" applyAlignment="1">
      <alignment horizontal="left" vertical="center"/>
    </xf>
    <xf numFmtId="1" fontId="38" fillId="0" borderId="60" xfId="0" applyNumberFormat="1" applyFont="1" applyBorder="1" applyAlignment="1">
      <alignment horizontal="left" vertical="center"/>
    </xf>
    <xf numFmtId="1" fontId="38" fillId="0" borderId="61" xfId="0" applyNumberFormat="1" applyFont="1" applyBorder="1" applyAlignment="1">
      <alignment horizontal="left" vertical="center"/>
    </xf>
    <xf numFmtId="1" fontId="38" fillId="0" borderId="59" xfId="0" applyNumberFormat="1" applyFont="1" applyBorder="1" applyAlignment="1">
      <alignment horizontal="left"/>
    </xf>
    <xf numFmtId="1" fontId="38" fillId="0" borderId="12" xfId="0" applyNumberFormat="1" applyFont="1" applyBorder="1" applyAlignment="1">
      <alignment horizontal="left"/>
    </xf>
    <xf numFmtId="1" fontId="38" fillId="0" borderId="42" xfId="0" applyNumberFormat="1" applyFont="1" applyBorder="1" applyAlignment="1">
      <alignment horizontal="left"/>
    </xf>
    <xf numFmtId="2" fontId="38" fillId="0" borderId="59" xfId="0" applyNumberFormat="1" applyFont="1" applyBorder="1" applyAlignment="1">
      <alignment horizontal="left"/>
    </xf>
    <xf numFmtId="1" fontId="38" fillId="0" borderId="59" xfId="0" applyNumberFormat="1" applyFont="1" applyFill="1" applyBorder="1" applyAlignment="1">
      <alignment horizontal="left"/>
    </xf>
    <xf numFmtId="1" fontId="38" fillId="0" borderId="59" xfId="1" applyNumberFormat="1" applyFont="1" applyBorder="1" applyAlignment="1">
      <alignment horizontal="left"/>
    </xf>
    <xf numFmtId="1" fontId="38" fillId="0" borderId="12" xfId="1" applyNumberFormat="1" applyFont="1" applyBorder="1" applyAlignment="1">
      <alignment horizontal="left"/>
    </xf>
    <xf numFmtId="1" fontId="38" fillId="0" borderId="11" xfId="1" applyNumberFormat="1" applyFont="1" applyBorder="1" applyAlignment="1">
      <alignment horizontal="left"/>
    </xf>
    <xf numFmtId="1" fontId="38" fillId="0" borderId="30" xfId="1" applyNumberFormat="1" applyFont="1" applyBorder="1" applyAlignment="1">
      <alignment horizontal="left"/>
    </xf>
    <xf numFmtId="0" fontId="38" fillId="0" borderId="0" xfId="0" applyFont="1" applyAlignment="1">
      <alignment horizontal="left"/>
    </xf>
    <xf numFmtId="1" fontId="39" fillId="0" borderId="0" xfId="0" applyNumberFormat="1" applyFont="1"/>
    <xf numFmtId="1" fontId="26" fillId="0" borderId="1" xfId="0" applyNumberFormat="1" applyFont="1" applyBorder="1" applyAlignment="1">
      <alignment horizontal="left" wrapText="1"/>
    </xf>
    <xf numFmtId="1" fontId="26" fillId="0" borderId="1" xfId="0" applyNumberFormat="1" applyFont="1" applyFill="1" applyBorder="1" applyAlignment="1">
      <alignment horizontal="left"/>
    </xf>
    <xf numFmtId="1" fontId="25" fillId="0" borderId="46" xfId="0" applyNumberFormat="1" applyFont="1" applyBorder="1" applyAlignment="1">
      <alignment horizontal="left" vertical="center"/>
    </xf>
    <xf numFmtId="1" fontId="27" fillId="0" borderId="1" xfId="0" applyNumberFormat="1" applyFont="1" applyBorder="1" applyAlignment="1">
      <alignment horizontal="left"/>
    </xf>
    <xf numFmtId="1" fontId="25" fillId="0" borderId="1" xfId="1" applyNumberFormat="1" applyFont="1" applyBorder="1" applyAlignment="1">
      <alignment horizontal="left"/>
    </xf>
    <xf numFmtId="1" fontId="25" fillId="0" borderId="0" xfId="0" applyNumberFormat="1" applyFont="1" applyAlignment="1">
      <alignment horizontal="left"/>
    </xf>
    <xf numFmtId="1" fontId="25" fillId="0" borderId="15" xfId="0" applyNumberFormat="1" applyFont="1" applyBorder="1" applyAlignment="1">
      <alignment horizontal="left" vertical="center"/>
    </xf>
    <xf numFmtId="1" fontId="26" fillId="0" borderId="19" xfId="0" applyNumberFormat="1" applyFont="1" applyBorder="1" applyAlignment="1">
      <alignment horizontal="left" vertical="center"/>
    </xf>
    <xf numFmtId="1" fontId="26" fillId="0" borderId="19" xfId="0" applyNumberFormat="1" applyFont="1" applyBorder="1" applyAlignment="1">
      <alignment horizontal="left" wrapText="1"/>
    </xf>
    <xf numFmtId="1" fontId="22" fillId="0" borderId="19" xfId="0" applyNumberFormat="1" applyFont="1" applyBorder="1" applyAlignment="1">
      <alignment horizontal="left"/>
    </xf>
    <xf numFmtId="1" fontId="22" fillId="0" borderId="21" xfId="0" applyNumberFormat="1" applyFont="1" applyBorder="1" applyAlignment="1">
      <alignment horizontal="left"/>
    </xf>
    <xf numFmtId="1" fontId="22" fillId="0" borderId="36" xfId="0" applyNumberFormat="1" applyFont="1" applyBorder="1" applyAlignment="1">
      <alignment horizontal="left"/>
    </xf>
    <xf numFmtId="1" fontId="26" fillId="0" borderId="19" xfId="0" applyNumberFormat="1" applyFont="1" applyFill="1" applyBorder="1" applyAlignment="1">
      <alignment horizontal="left"/>
    </xf>
    <xf numFmtId="1" fontId="38" fillId="0" borderId="0" xfId="0" applyNumberFormat="1" applyFont="1" applyAlignment="1">
      <alignment horizontal="left"/>
    </xf>
    <xf numFmtId="1" fontId="25" fillId="0" borderId="27" xfId="0" applyNumberFormat="1" applyFont="1" applyBorder="1" applyAlignment="1">
      <alignment horizontal="left"/>
    </xf>
    <xf numFmtId="1" fontId="38" fillId="0" borderId="52" xfId="0" applyNumberFormat="1" applyFont="1" applyBorder="1" applyAlignment="1">
      <alignment horizontal="left" vertical="center"/>
    </xf>
    <xf numFmtId="1" fontId="38" fillId="0" borderId="58" xfId="0" applyNumberFormat="1" applyFont="1" applyBorder="1" applyAlignment="1">
      <alignment horizontal="left" vertical="center"/>
    </xf>
    <xf numFmtId="1" fontId="38" fillId="0" borderId="50" xfId="0" applyNumberFormat="1" applyFont="1" applyBorder="1" applyAlignment="1">
      <alignment horizontal="left" vertical="center"/>
    </xf>
    <xf numFmtId="1" fontId="38" fillId="0" borderId="62" xfId="0" applyNumberFormat="1" applyFont="1" applyBorder="1" applyAlignment="1">
      <alignment horizontal="left"/>
    </xf>
    <xf numFmtId="1" fontId="38" fillId="0" borderId="52" xfId="0" applyNumberFormat="1" applyFont="1" applyBorder="1" applyAlignment="1">
      <alignment horizontal="left"/>
    </xf>
    <xf numFmtId="1" fontId="38" fillId="0" borderId="50" xfId="0" applyNumberFormat="1" applyFont="1" applyBorder="1" applyAlignment="1">
      <alignment horizontal="left"/>
    </xf>
    <xf numFmtId="1" fontId="38" fillId="0" borderId="52" xfId="1" applyNumberFormat="1" applyFont="1" applyBorder="1" applyAlignment="1">
      <alignment horizontal="left"/>
    </xf>
    <xf numFmtId="1" fontId="38" fillId="0" borderId="50" xfId="1" applyNumberFormat="1" applyFont="1" applyBorder="1" applyAlignment="1">
      <alignment horizontal="left"/>
    </xf>
    <xf numFmtId="1" fontId="38" fillId="0" borderId="49" xfId="0" applyNumberFormat="1" applyFont="1" applyBorder="1" applyAlignment="1">
      <alignment horizontal="left"/>
    </xf>
    <xf numFmtId="1" fontId="35" fillId="0" borderId="58" xfId="0" applyNumberFormat="1" applyFont="1" applyBorder="1" applyAlignment="1">
      <alignment horizontal="left"/>
    </xf>
    <xf numFmtId="1" fontId="39" fillId="0" borderId="0" xfId="0" applyNumberFormat="1" applyFont="1" applyAlignment="1">
      <alignment horizontal="left"/>
    </xf>
    <xf numFmtId="0" fontId="38" fillId="0" borderId="49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19" fillId="0" borderId="46" xfId="0" applyFont="1" applyBorder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left"/>
    </xf>
    <xf numFmtId="1" fontId="26" fillId="0" borderId="63" xfId="0" applyNumberFormat="1" applyFont="1" applyBorder="1" applyAlignment="1">
      <alignment horizontal="left"/>
    </xf>
    <xf numFmtId="1" fontId="26" fillId="0" borderId="37" xfId="0" applyNumberFormat="1" applyFont="1" applyBorder="1" applyAlignment="1">
      <alignment horizontal="left"/>
    </xf>
    <xf numFmtId="1" fontId="26" fillId="0" borderId="64" xfId="0" applyNumberFormat="1" applyFont="1" applyBorder="1" applyAlignment="1">
      <alignment horizontal="left"/>
    </xf>
    <xf numFmtId="1" fontId="26" fillId="0" borderId="43" xfId="0" applyNumberFormat="1" applyFont="1" applyBorder="1" applyAlignment="1">
      <alignment horizontal="left"/>
    </xf>
    <xf numFmtId="1" fontId="26" fillId="0" borderId="50" xfId="0" applyNumberFormat="1" applyFont="1" applyBorder="1" applyAlignment="1">
      <alignment horizontal="left"/>
    </xf>
    <xf numFmtId="0" fontId="26" fillId="0" borderId="52" xfId="0" applyFont="1" applyBorder="1" applyAlignment="1">
      <alignment horizontal="left"/>
    </xf>
    <xf numFmtId="2" fontId="26" fillId="0" borderId="45" xfId="0" applyNumberFormat="1" applyFont="1" applyBorder="1" applyAlignment="1">
      <alignment horizontal="left"/>
    </xf>
    <xf numFmtId="0" fontId="26" fillId="0" borderId="50" xfId="0" applyFont="1" applyBorder="1" applyAlignment="1">
      <alignment horizontal="left"/>
    </xf>
    <xf numFmtId="2" fontId="26" fillId="0" borderId="43" xfId="0" applyNumberFormat="1" applyFont="1" applyBorder="1" applyAlignment="1">
      <alignment horizontal="left"/>
    </xf>
    <xf numFmtId="0" fontId="26" fillId="0" borderId="63" xfId="0" applyFont="1" applyBorder="1" applyAlignment="1">
      <alignment horizontal="left"/>
    </xf>
    <xf numFmtId="2" fontId="26" fillId="0" borderId="64" xfId="0" applyNumberFormat="1" applyFont="1" applyBorder="1" applyAlignment="1">
      <alignment horizontal="left"/>
    </xf>
    <xf numFmtId="1" fontId="25" fillId="0" borderId="48" xfId="0" applyNumberFormat="1" applyFont="1" applyFill="1" applyBorder="1" applyAlignment="1">
      <alignment horizontal="center" vertical="justify" wrapText="1"/>
    </xf>
    <xf numFmtId="1" fontId="38" fillId="0" borderId="49" xfId="0" applyNumberFormat="1" applyFont="1" applyBorder="1" applyAlignment="1">
      <alignment horizontal="center" vertical="justify" wrapText="1"/>
    </xf>
    <xf numFmtId="0" fontId="24" fillId="0" borderId="6" xfId="0" applyFont="1" applyBorder="1" applyAlignment="1">
      <alignment horizontal="left"/>
    </xf>
    <xf numFmtId="2" fontId="16" fillId="0" borderId="36" xfId="0" applyNumberFormat="1" applyFont="1" applyBorder="1" applyAlignment="1">
      <alignment horizontal="left"/>
    </xf>
    <xf numFmtId="2" fontId="16" fillId="0" borderId="7" xfId="2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21" fillId="0" borderId="7" xfId="0" applyNumberFormat="1" applyFont="1" applyBorder="1" applyAlignment="1">
      <alignment horizontal="left" wrapText="1"/>
    </xf>
    <xf numFmtId="2" fontId="21" fillId="0" borderId="1" xfId="0" applyNumberFormat="1" applyFont="1" applyBorder="1" applyAlignment="1">
      <alignment horizontal="left" wrapText="1"/>
    </xf>
    <xf numFmtId="2" fontId="21" fillId="0" borderId="19" xfId="0" applyNumberFormat="1" applyFont="1" applyBorder="1" applyAlignment="1">
      <alignment horizontal="left" wrapText="1"/>
    </xf>
    <xf numFmtId="2" fontId="21" fillId="0" borderId="37" xfId="0" applyNumberFormat="1" applyFont="1" applyBorder="1" applyAlignment="1">
      <alignment horizontal="left" wrapText="1"/>
    </xf>
    <xf numFmtId="1" fontId="16" fillId="0" borderId="19" xfId="0" applyNumberFormat="1" applyFont="1" applyBorder="1" applyAlignment="1">
      <alignment horizontal="left" vertical="center"/>
    </xf>
    <xf numFmtId="1" fontId="16" fillId="0" borderId="21" xfId="0" applyNumberFormat="1" applyFont="1" applyBorder="1" applyAlignment="1">
      <alignment horizontal="left" vertical="center"/>
    </xf>
    <xf numFmtId="1" fontId="16" fillId="0" borderId="20" xfId="0" applyNumberFormat="1" applyFont="1" applyBorder="1" applyAlignment="1">
      <alignment horizontal="left"/>
    </xf>
    <xf numFmtId="1" fontId="16" fillId="0" borderId="21" xfId="0" applyNumberFormat="1" applyFont="1" applyBorder="1" applyAlignment="1">
      <alignment horizontal="left"/>
    </xf>
    <xf numFmtId="1" fontId="16" fillId="0" borderId="65" xfId="0" applyNumberFormat="1" applyFont="1" applyBorder="1" applyAlignment="1">
      <alignment horizontal="left"/>
    </xf>
    <xf numFmtId="1" fontId="16" fillId="0" borderId="19" xfId="0" applyNumberFormat="1" applyFont="1" applyBorder="1" applyAlignment="1">
      <alignment horizontal="left"/>
    </xf>
    <xf numFmtId="2" fontId="16" fillId="0" borderId="19" xfId="0" applyNumberFormat="1" applyFont="1" applyBorder="1" applyAlignment="1">
      <alignment horizontal="left" wrapText="1"/>
    </xf>
    <xf numFmtId="1" fontId="16" fillId="0" borderId="20" xfId="1" applyNumberFormat="1" applyFont="1" applyBorder="1" applyAlignment="1">
      <alignment horizontal="left"/>
    </xf>
    <xf numFmtId="1" fontId="16" fillId="0" borderId="19" xfId="1" applyNumberFormat="1" applyFont="1" applyBorder="1" applyAlignment="1">
      <alignment horizontal="left"/>
    </xf>
    <xf numFmtId="1" fontId="17" fillId="0" borderId="17" xfId="0" applyNumberFormat="1" applyFont="1" applyBorder="1" applyAlignment="1">
      <alignment horizontal="left"/>
    </xf>
    <xf numFmtId="1" fontId="28" fillId="0" borderId="52" xfId="0" applyNumberFormat="1" applyFont="1" applyBorder="1" applyAlignment="1">
      <alignment horizontal="left" vertical="center"/>
    </xf>
    <xf numFmtId="1" fontId="28" fillId="0" borderId="58" xfId="0" applyNumberFormat="1" applyFont="1" applyBorder="1" applyAlignment="1">
      <alignment horizontal="left" vertical="center"/>
    </xf>
    <xf numFmtId="1" fontId="28" fillId="0" borderId="62" xfId="0" applyNumberFormat="1" applyFont="1" applyBorder="1" applyAlignment="1">
      <alignment horizontal="left" vertical="center"/>
    </xf>
    <xf numFmtId="1" fontId="28" fillId="0" borderId="63" xfId="0" applyNumberFormat="1" applyFont="1" applyBorder="1" applyAlignment="1">
      <alignment horizontal="left" vertical="center"/>
    </xf>
    <xf numFmtId="1" fontId="28" fillId="0" borderId="50" xfId="0" applyNumberFormat="1" applyFont="1" applyBorder="1" applyAlignment="1">
      <alignment horizontal="left" vertical="center"/>
    </xf>
    <xf numFmtId="1" fontId="28" fillId="0" borderId="49" xfId="0" applyNumberFormat="1" applyFont="1" applyBorder="1" applyAlignment="1">
      <alignment horizontal="left" vertical="center"/>
    </xf>
    <xf numFmtId="1" fontId="28" fillId="0" borderId="52" xfId="0" applyNumberFormat="1" applyFont="1" applyBorder="1" applyAlignment="1">
      <alignment horizontal="left"/>
    </xf>
    <xf numFmtId="1" fontId="28" fillId="0" borderId="62" xfId="0" applyNumberFormat="1" applyFont="1" applyBorder="1" applyAlignment="1">
      <alignment horizontal="left"/>
    </xf>
    <xf numFmtId="1" fontId="29" fillId="0" borderId="52" xfId="1" applyNumberFormat="1" applyFont="1" applyBorder="1" applyAlignment="1">
      <alignment horizontal="left"/>
    </xf>
    <xf numFmtId="1" fontId="29" fillId="0" borderId="53" xfId="1" applyNumberFormat="1" applyFont="1" applyBorder="1" applyAlignment="1">
      <alignment horizontal="left"/>
    </xf>
    <xf numFmtId="1" fontId="28" fillId="0" borderId="53" xfId="0" applyNumberFormat="1" applyFont="1" applyBorder="1" applyAlignment="1">
      <alignment horizontal="left"/>
    </xf>
    <xf numFmtId="1" fontId="17" fillId="0" borderId="19" xfId="0" applyNumberFormat="1" applyFont="1" applyBorder="1" applyAlignment="1">
      <alignment horizontal="left" vertical="center"/>
    </xf>
    <xf numFmtId="1" fontId="17" fillId="0" borderId="66" xfId="0" applyNumberFormat="1" applyFont="1" applyBorder="1" applyAlignment="1">
      <alignment horizontal="left" vertical="center"/>
    </xf>
    <xf numFmtId="1" fontId="17" fillId="0" borderId="20" xfId="0" applyNumberFormat="1" applyFont="1" applyBorder="1" applyAlignment="1">
      <alignment horizontal="left"/>
    </xf>
    <xf numFmtId="1" fontId="1" fillId="0" borderId="65" xfId="0" applyNumberFormat="1" applyFont="1" applyBorder="1" applyAlignment="1">
      <alignment horizontal="left"/>
    </xf>
    <xf numFmtId="1" fontId="17" fillId="0" borderId="20" xfId="0" applyNumberFormat="1" applyFont="1" applyBorder="1" applyAlignment="1">
      <alignment horizontal="left" vertical="center"/>
    </xf>
    <xf numFmtId="1" fontId="17" fillId="0" borderId="19" xfId="0" applyNumberFormat="1" applyFont="1" applyBorder="1" applyAlignment="1">
      <alignment horizontal="left"/>
    </xf>
    <xf numFmtId="1" fontId="25" fillId="0" borderId="48" xfId="0" applyNumberFormat="1" applyFont="1" applyFill="1" applyBorder="1" applyAlignment="1">
      <alignment horizontal="center" vertical="center" wrapText="1"/>
    </xf>
    <xf numFmtId="1" fontId="38" fillId="0" borderId="30" xfId="0" applyNumberFormat="1" applyFont="1" applyBorder="1" applyAlignment="1">
      <alignment horizontal="left"/>
    </xf>
    <xf numFmtId="3" fontId="38" fillId="0" borderId="30" xfId="0" applyNumberFormat="1" applyFont="1" applyBorder="1" applyAlignment="1">
      <alignment horizontal="left"/>
    </xf>
    <xf numFmtId="0" fontId="23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left"/>
    </xf>
    <xf numFmtId="0" fontId="20" fillId="0" borderId="68" xfId="0" applyFont="1" applyBorder="1"/>
    <xf numFmtId="2" fontId="21" fillId="0" borderId="66" xfId="0" applyNumberFormat="1" applyFont="1" applyBorder="1" applyAlignment="1">
      <alignment horizontal="right"/>
    </xf>
    <xf numFmtId="2" fontId="21" fillId="0" borderId="27" xfId="0" applyNumberFormat="1" applyFont="1" applyBorder="1" applyAlignment="1">
      <alignment horizontal="right"/>
    </xf>
    <xf numFmtId="2" fontId="16" fillId="0" borderId="66" xfId="0" applyNumberFormat="1" applyFont="1" applyBorder="1" applyAlignment="1">
      <alignment horizontal="right"/>
    </xf>
    <xf numFmtId="2" fontId="26" fillId="0" borderId="66" xfId="0" applyNumberFormat="1" applyFont="1" applyBorder="1" applyAlignment="1">
      <alignment horizontal="left"/>
    </xf>
    <xf numFmtId="2" fontId="21" fillId="0" borderId="66" xfId="1" applyNumberFormat="1" applyFont="1" applyBorder="1" applyAlignment="1">
      <alignment horizontal="right"/>
    </xf>
    <xf numFmtId="2" fontId="21" fillId="0" borderId="66" xfId="0" applyNumberFormat="1" applyFont="1" applyBorder="1" applyAlignment="1">
      <alignment horizontal="right" wrapText="1"/>
    </xf>
    <xf numFmtId="0" fontId="40" fillId="0" borderId="58" xfId="0" applyFont="1" applyBorder="1" applyAlignment="1">
      <alignment horizontal="center" vertical="center"/>
    </xf>
    <xf numFmtId="1" fontId="24" fillId="0" borderId="9" xfId="0" applyNumberFormat="1" applyFont="1" applyBorder="1" applyAlignment="1">
      <alignment horizontal="left"/>
    </xf>
    <xf numFmtId="1" fontId="17" fillId="0" borderId="0" xfId="0" applyNumberFormat="1" applyFont="1" applyAlignment="1">
      <alignment horizontal="left"/>
    </xf>
    <xf numFmtId="1" fontId="17" fillId="0" borderId="4" xfId="2" applyNumberFormat="1" applyFont="1" applyBorder="1" applyAlignment="1">
      <alignment horizontal="left"/>
    </xf>
    <xf numFmtId="1" fontId="17" fillId="0" borderId="4" xfId="0" applyNumberFormat="1" applyFont="1" applyBorder="1" applyAlignment="1">
      <alignment horizontal="left" wrapText="1"/>
    </xf>
    <xf numFmtId="1" fontId="17" fillId="0" borderId="4" xfId="0" applyNumberFormat="1" applyFont="1" applyFill="1" applyBorder="1" applyAlignment="1">
      <alignment horizontal="left"/>
    </xf>
    <xf numFmtId="1" fontId="4" fillId="0" borderId="4" xfId="0" applyNumberFormat="1" applyFont="1" applyBorder="1" applyAlignment="1">
      <alignment horizontal="left"/>
    </xf>
    <xf numFmtId="1" fontId="17" fillId="0" borderId="29" xfId="0" applyNumberFormat="1" applyFont="1" applyBorder="1" applyAlignment="1">
      <alignment horizontal="left" vertical="center"/>
    </xf>
    <xf numFmtId="0" fontId="28" fillId="0" borderId="49" xfId="0" applyFont="1" applyBorder="1" applyAlignment="1">
      <alignment horizontal="left"/>
    </xf>
    <xf numFmtId="1" fontId="16" fillId="0" borderId="10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" fontId="1" fillId="0" borderId="45" xfId="0" applyNumberFormat="1" applyFont="1" applyBorder="1" applyAlignment="1">
      <alignment horizontal="left" vertical="center"/>
    </xf>
    <xf numFmtId="1" fontId="1" fillId="0" borderId="44" xfId="0" applyNumberFormat="1" applyFont="1" applyBorder="1" applyAlignment="1">
      <alignment horizontal="left" vertical="center"/>
    </xf>
    <xf numFmtId="1" fontId="4" fillId="0" borderId="43" xfId="0" applyNumberFormat="1" applyFont="1" applyBorder="1" applyAlignment="1">
      <alignment horizontal="left"/>
    </xf>
    <xf numFmtId="1" fontId="4" fillId="0" borderId="44" xfId="0" applyNumberFormat="1" applyFont="1" applyBorder="1" applyAlignment="1">
      <alignment horizontal="left"/>
    </xf>
    <xf numFmtId="1" fontId="4" fillId="0" borderId="64" xfId="0" applyNumberFormat="1" applyFont="1" applyBorder="1" applyAlignment="1">
      <alignment horizontal="left"/>
    </xf>
    <xf numFmtId="1" fontId="4" fillId="0" borderId="45" xfId="0" applyNumberFormat="1" applyFont="1" applyBorder="1" applyAlignment="1">
      <alignment horizontal="left"/>
    </xf>
    <xf numFmtId="1" fontId="1" fillId="0" borderId="43" xfId="0" applyNumberFormat="1" applyFont="1" applyBorder="1" applyAlignment="1">
      <alignment horizontal="left"/>
    </xf>
    <xf numFmtId="1" fontId="1" fillId="0" borderId="44" xfId="0" applyNumberFormat="1" applyFont="1" applyBorder="1" applyAlignment="1">
      <alignment horizontal="left"/>
    </xf>
    <xf numFmtId="1" fontId="1" fillId="0" borderId="64" xfId="0" applyNumberFormat="1" applyFont="1" applyBorder="1" applyAlignment="1">
      <alignment horizontal="left"/>
    </xf>
    <xf numFmtId="1" fontId="1" fillId="0" borderId="45" xfId="0" applyNumberFormat="1" applyFont="1" applyBorder="1" applyAlignment="1">
      <alignment horizontal="left"/>
    </xf>
    <xf numFmtId="2" fontId="4" fillId="0" borderId="45" xfId="0" applyNumberFormat="1" applyFont="1" applyBorder="1" applyAlignment="1">
      <alignment horizontal="left" wrapText="1"/>
    </xf>
    <xf numFmtId="0" fontId="4" fillId="0" borderId="64" xfId="0" applyFont="1" applyBorder="1" applyAlignment="1">
      <alignment horizontal="left"/>
    </xf>
    <xf numFmtId="1" fontId="4" fillId="0" borderId="64" xfId="0" applyNumberFormat="1" applyFont="1" applyFill="1" applyBorder="1" applyAlignment="1">
      <alignment horizontal="left"/>
    </xf>
    <xf numFmtId="1" fontId="4" fillId="0" borderId="43" xfId="1" applyNumberFormat="1" applyFont="1" applyBorder="1" applyAlignment="1">
      <alignment horizontal="left"/>
    </xf>
    <xf numFmtId="1" fontId="4" fillId="0" borderId="44" xfId="1" applyNumberFormat="1" applyFont="1" applyBorder="1" applyAlignment="1">
      <alignment horizontal="left"/>
    </xf>
    <xf numFmtId="1" fontId="4" fillId="0" borderId="64" xfId="1" applyNumberFormat="1" applyFont="1" applyBorder="1" applyAlignment="1">
      <alignment horizontal="left"/>
    </xf>
    <xf numFmtId="1" fontId="4" fillId="0" borderId="45" xfId="1" applyNumberFormat="1" applyFont="1" applyBorder="1" applyAlignment="1">
      <alignment horizontal="left"/>
    </xf>
    <xf numFmtId="1" fontId="1" fillId="0" borderId="17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" fontId="17" fillId="0" borderId="65" xfId="0" applyNumberFormat="1" applyFont="1" applyBorder="1" applyAlignment="1">
      <alignment horizontal="left" vertical="center"/>
    </xf>
    <xf numFmtId="1" fontId="28" fillId="0" borderId="69" xfId="0" applyNumberFormat="1" applyFont="1" applyBorder="1" applyAlignment="1">
      <alignment horizontal="left" vertical="center"/>
    </xf>
    <xf numFmtId="1" fontId="17" fillId="0" borderId="21" xfId="0" applyNumberFormat="1" applyFont="1" applyBorder="1" applyAlignment="1">
      <alignment horizontal="left"/>
    </xf>
    <xf numFmtId="1" fontId="17" fillId="0" borderId="65" xfId="0" applyNumberFormat="1" applyFont="1" applyBorder="1" applyAlignment="1">
      <alignment horizontal="left"/>
    </xf>
    <xf numFmtId="1" fontId="17" fillId="0" borderId="20" xfId="2" applyNumberFormat="1" applyFont="1" applyBorder="1" applyAlignment="1">
      <alignment horizontal="left"/>
    </xf>
    <xf numFmtId="1" fontId="17" fillId="0" borderId="20" xfId="0" applyNumberFormat="1" applyFont="1" applyBorder="1" applyAlignment="1">
      <alignment horizontal="left" wrapText="1"/>
    </xf>
    <xf numFmtId="1" fontId="24" fillId="0" borderId="65" xfId="0" applyNumberFormat="1" applyFont="1" applyBorder="1" applyAlignment="1">
      <alignment horizontal="left"/>
    </xf>
    <xf numFmtId="1" fontId="17" fillId="0" borderId="20" xfId="0" applyNumberFormat="1" applyFont="1" applyFill="1" applyBorder="1" applyAlignment="1">
      <alignment horizontal="left"/>
    </xf>
    <xf numFmtId="1" fontId="17" fillId="0" borderId="65" xfId="1" applyNumberFormat="1" applyFont="1" applyBorder="1" applyAlignment="1">
      <alignment horizontal="left"/>
    </xf>
    <xf numFmtId="1" fontId="17" fillId="0" borderId="45" xfId="0" applyNumberFormat="1" applyFont="1" applyBorder="1" applyAlignment="1">
      <alignment horizontal="left" vertical="center"/>
    </xf>
    <xf numFmtId="1" fontId="17" fillId="0" borderId="64" xfId="0" applyNumberFormat="1" applyFont="1" applyBorder="1" applyAlignment="1">
      <alignment horizontal="left" vertical="center"/>
    </xf>
    <xf numFmtId="1" fontId="16" fillId="0" borderId="43" xfId="0" applyNumberFormat="1" applyFont="1" applyBorder="1" applyAlignment="1">
      <alignment horizontal="left"/>
    </xf>
    <xf numFmtId="1" fontId="16" fillId="0" borderId="44" xfId="0" applyNumberFormat="1" applyFont="1" applyBorder="1" applyAlignment="1">
      <alignment horizontal="left"/>
    </xf>
    <xf numFmtId="1" fontId="16" fillId="0" borderId="64" xfId="0" applyNumberFormat="1" applyFont="1" applyBorder="1" applyAlignment="1">
      <alignment horizontal="left"/>
    </xf>
    <xf numFmtId="2" fontId="16" fillId="0" borderId="44" xfId="0" applyNumberFormat="1" applyFont="1" applyBorder="1" applyAlignment="1">
      <alignment horizontal="left"/>
    </xf>
    <xf numFmtId="1" fontId="16" fillId="0" borderId="70" xfId="0" applyNumberFormat="1" applyFont="1" applyBorder="1" applyAlignment="1">
      <alignment horizontal="left"/>
    </xf>
    <xf numFmtId="0" fontId="16" fillId="0" borderId="45" xfId="0" applyFont="1" applyBorder="1" applyAlignment="1">
      <alignment horizontal="left"/>
    </xf>
    <xf numFmtId="2" fontId="16" fillId="0" borderId="43" xfId="0" applyNumberFormat="1" applyFont="1" applyBorder="1" applyAlignment="1">
      <alignment horizontal="left" wrapText="1"/>
    </xf>
    <xf numFmtId="0" fontId="19" fillId="0" borderId="64" xfId="0" applyFont="1" applyBorder="1" applyAlignment="1">
      <alignment horizontal="left"/>
    </xf>
    <xf numFmtId="1" fontId="16" fillId="0" borderId="43" xfId="0" applyNumberFormat="1" applyFont="1" applyFill="1" applyBorder="1" applyAlignment="1">
      <alignment horizontal="left"/>
    </xf>
    <xf numFmtId="1" fontId="16" fillId="0" borderId="64" xfId="1" applyNumberFormat="1" applyFont="1" applyBorder="1" applyAlignment="1">
      <alignment horizontal="left"/>
    </xf>
    <xf numFmtId="1" fontId="17" fillId="0" borderId="43" xfId="0" applyNumberFormat="1" applyFont="1" applyBorder="1" applyAlignment="1">
      <alignment horizontal="left" vertical="center"/>
    </xf>
    <xf numFmtId="0" fontId="20" fillId="0" borderId="16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35" xfId="0" applyFont="1" applyBorder="1" applyAlignment="1">
      <alignment horizontal="left"/>
    </xf>
    <xf numFmtId="0" fontId="20" fillId="0" borderId="54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3" fontId="26" fillId="0" borderId="3" xfId="0" applyNumberFormat="1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9" fillId="0" borderId="71" xfId="0" applyFont="1" applyBorder="1" applyAlignment="1">
      <alignment horizontal="left"/>
    </xf>
    <xf numFmtId="3" fontId="22" fillId="0" borderId="1" xfId="0" applyNumberFormat="1" applyFont="1" applyBorder="1" applyAlignment="1">
      <alignment horizontal="left"/>
    </xf>
    <xf numFmtId="165" fontId="22" fillId="0" borderId="1" xfId="0" applyNumberFormat="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7" fillId="0" borderId="32" xfId="0" applyFont="1" applyBorder="1" applyAlignment="1">
      <alignment horizontal="left" vertical="center"/>
    </xf>
    <xf numFmtId="2" fontId="21" fillId="0" borderId="15" xfId="1" applyNumberFormat="1" applyFont="1" applyBorder="1" applyAlignment="1">
      <alignment horizontal="right"/>
    </xf>
    <xf numFmtId="1" fontId="19" fillId="0" borderId="46" xfId="0" applyNumberFormat="1" applyFont="1" applyFill="1" applyBorder="1" applyAlignment="1">
      <alignment horizontal="left" vertical="center" wrapText="1"/>
    </xf>
    <xf numFmtId="1" fontId="19" fillId="0" borderId="46" xfId="0" applyNumberFormat="1" applyFont="1" applyFill="1" applyBorder="1" applyAlignment="1">
      <alignment horizontal="left" vertical="top" wrapText="1"/>
    </xf>
    <xf numFmtId="1" fontId="1" fillId="0" borderId="46" xfId="0" applyNumberFormat="1" applyFont="1" applyFill="1" applyBorder="1" applyAlignment="1">
      <alignment horizontal="left" vertical="top" wrapText="1"/>
    </xf>
    <xf numFmtId="1" fontId="4" fillId="0" borderId="46" xfId="0" applyNumberFormat="1" applyFont="1" applyFill="1" applyBorder="1" applyAlignment="1">
      <alignment horizontal="left" vertical="top" wrapText="1"/>
    </xf>
    <xf numFmtId="1" fontId="19" fillId="0" borderId="68" xfId="0" applyNumberFormat="1" applyFont="1" applyFill="1" applyBorder="1" applyAlignment="1">
      <alignment horizontal="left" vertical="top" wrapText="1"/>
    </xf>
    <xf numFmtId="2" fontId="16" fillId="0" borderId="6" xfId="0" applyNumberFormat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165" fontId="24" fillId="0" borderId="31" xfId="0" applyNumberFormat="1" applyFont="1" applyBorder="1" applyAlignment="1">
      <alignment horizontal="left"/>
    </xf>
    <xf numFmtId="165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165" fontId="24" fillId="0" borderId="12" xfId="0" applyNumberFormat="1" applyFont="1" applyBorder="1" applyAlignment="1">
      <alignment horizontal="left"/>
    </xf>
    <xf numFmtId="2" fontId="17" fillId="0" borderId="8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1" fontId="17" fillId="0" borderId="13" xfId="0" applyNumberFormat="1" applyFont="1" applyBorder="1" applyAlignment="1">
      <alignment horizontal="left"/>
    </xf>
    <xf numFmtId="1" fontId="16" fillId="0" borderId="45" xfId="0" applyNumberFormat="1" applyFont="1" applyBorder="1" applyAlignment="1">
      <alignment horizontal="left"/>
    </xf>
    <xf numFmtId="1" fontId="17" fillId="0" borderId="36" xfId="0" applyNumberFormat="1" applyFont="1" applyBorder="1" applyAlignment="1">
      <alignment horizontal="left"/>
    </xf>
    <xf numFmtId="2" fontId="16" fillId="0" borderId="70" xfId="0" applyNumberFormat="1" applyFont="1" applyBorder="1" applyAlignment="1">
      <alignment horizontal="left"/>
    </xf>
    <xf numFmtId="2" fontId="16" fillId="0" borderId="45" xfId="0" applyNumberFormat="1" applyFont="1" applyBorder="1" applyAlignment="1">
      <alignment horizontal="left"/>
    </xf>
    <xf numFmtId="165" fontId="22" fillId="0" borderId="7" xfId="0" applyNumberFormat="1" applyFont="1" applyBorder="1" applyAlignment="1">
      <alignment horizontal="left"/>
    </xf>
    <xf numFmtId="165" fontId="22" fillId="0" borderId="19" xfId="0" applyNumberFormat="1" applyFont="1" applyBorder="1" applyAlignment="1">
      <alignment horizontal="left"/>
    </xf>
    <xf numFmtId="0" fontId="20" fillId="0" borderId="37" xfId="0" applyFont="1" applyBorder="1" applyAlignment="1">
      <alignment horizontal="left"/>
    </xf>
    <xf numFmtId="1" fontId="26" fillId="0" borderId="16" xfId="0" applyNumberFormat="1" applyFont="1" applyBorder="1" applyAlignment="1">
      <alignment horizontal="left"/>
    </xf>
    <xf numFmtId="1" fontId="26" fillId="0" borderId="15" xfId="1" applyNumberFormat="1" applyFont="1" applyBorder="1" applyAlignment="1">
      <alignment horizontal="left"/>
    </xf>
    <xf numFmtId="0" fontId="25" fillId="0" borderId="56" xfId="0" applyFont="1" applyBorder="1" applyAlignment="1">
      <alignment horizontal="left" vertical="center"/>
    </xf>
    <xf numFmtId="1" fontId="26" fillId="0" borderId="15" xfId="0" applyNumberFormat="1" applyFont="1" applyBorder="1" applyAlignment="1">
      <alignment horizontal="left"/>
    </xf>
    <xf numFmtId="2" fontId="26" fillId="0" borderId="4" xfId="0" applyNumberFormat="1" applyFont="1" applyBorder="1" applyAlignment="1">
      <alignment horizontal="left" wrapText="1"/>
    </xf>
    <xf numFmtId="2" fontId="26" fillId="0" borderId="3" xfId="1" applyNumberFormat="1" applyFont="1" applyBorder="1" applyAlignment="1">
      <alignment horizontal="left"/>
    </xf>
    <xf numFmtId="1" fontId="41" fillId="0" borderId="68" xfId="0" applyNumberFormat="1" applyFont="1" applyFill="1" applyBorder="1" applyAlignment="1">
      <alignment horizontal="left" vertical="top" wrapText="1"/>
    </xf>
    <xf numFmtId="1" fontId="41" fillId="0" borderId="19" xfId="0" applyNumberFormat="1" applyFont="1" applyBorder="1" applyAlignment="1">
      <alignment horizontal="left" vertical="center"/>
    </xf>
    <xf numFmtId="1" fontId="41" fillId="0" borderId="0" xfId="0" applyNumberFormat="1" applyFont="1" applyFill="1" applyAlignment="1">
      <alignment horizontal="left"/>
    </xf>
    <xf numFmtId="1" fontId="42" fillId="0" borderId="46" xfId="0" applyNumberFormat="1" applyFont="1" applyFill="1" applyBorder="1" applyAlignment="1">
      <alignment horizontal="left" vertical="top" wrapText="1"/>
    </xf>
    <xf numFmtId="1" fontId="41" fillId="0" borderId="1" xfId="0" applyNumberFormat="1" applyFont="1" applyBorder="1" applyAlignment="1">
      <alignment horizontal="left" vertical="center"/>
    </xf>
    <xf numFmtId="1" fontId="41" fillId="0" borderId="15" xfId="0" applyNumberFormat="1" applyFont="1" applyBorder="1" applyAlignment="1">
      <alignment horizontal="left" vertical="center"/>
    </xf>
    <xf numFmtId="1" fontId="42" fillId="0" borderId="0" xfId="0" applyNumberFormat="1" applyFont="1" applyAlignment="1">
      <alignment horizontal="left"/>
    </xf>
    <xf numFmtId="1" fontId="42" fillId="0" borderId="1" xfId="0" applyNumberFormat="1" applyFont="1" applyBorder="1" applyAlignment="1">
      <alignment horizontal="left" vertical="center"/>
    </xf>
    <xf numFmtId="0" fontId="43" fillId="0" borderId="46" xfId="0" applyFont="1" applyBorder="1" applyAlignment="1">
      <alignment horizontal="left"/>
    </xf>
    <xf numFmtId="0" fontId="44" fillId="0" borderId="46" xfId="0" applyFont="1" applyBorder="1"/>
    <xf numFmtId="2" fontId="45" fillId="0" borderId="15" xfId="0" applyNumberFormat="1" applyFont="1" applyBorder="1" applyAlignment="1">
      <alignment vertical="center"/>
    </xf>
    <xf numFmtId="2" fontId="45" fillId="0" borderId="16" xfId="0" applyNumberFormat="1" applyFont="1" applyBorder="1" applyAlignment="1">
      <alignment horizontal="right"/>
    </xf>
    <xf numFmtId="2" fontId="45" fillId="0" borderId="15" xfId="0" applyNumberFormat="1" applyFont="1" applyBorder="1" applyAlignment="1">
      <alignment horizontal="right"/>
    </xf>
    <xf numFmtId="2" fontId="41" fillId="0" borderId="16" xfId="0" applyNumberFormat="1" applyFont="1" applyBorder="1" applyAlignment="1">
      <alignment horizontal="right"/>
    </xf>
    <xf numFmtId="2" fontId="41" fillId="0" borderId="16" xfId="0" applyNumberFormat="1" applyFont="1" applyBorder="1" applyAlignment="1">
      <alignment horizontal="left"/>
    </xf>
    <xf numFmtId="2" fontId="45" fillId="0" borderId="16" xfId="1" applyNumberFormat="1" applyFont="1" applyBorder="1" applyAlignment="1">
      <alignment horizontal="right"/>
    </xf>
    <xf numFmtId="2" fontId="45" fillId="0" borderId="16" xfId="0" applyNumberFormat="1" applyFont="1" applyBorder="1" applyAlignment="1">
      <alignment horizontal="right" wrapText="1"/>
    </xf>
    <xf numFmtId="0" fontId="44" fillId="0" borderId="0" xfId="0" applyFont="1"/>
    <xf numFmtId="0" fontId="43" fillId="0" borderId="58" xfId="0" applyFont="1" applyBorder="1" applyAlignment="1">
      <alignment horizontal="left"/>
    </xf>
    <xf numFmtId="0" fontId="44" fillId="0" borderId="58" xfId="0" applyFont="1" applyBorder="1"/>
    <xf numFmtId="2" fontId="45" fillId="0" borderId="53" xfId="0" applyNumberFormat="1" applyFont="1" applyBorder="1" applyAlignment="1">
      <alignment horizontal="right"/>
    </xf>
    <xf numFmtId="2" fontId="45" fillId="0" borderId="49" xfId="0" applyNumberFormat="1" applyFont="1" applyBorder="1" applyAlignment="1">
      <alignment horizontal="right"/>
    </xf>
    <xf numFmtId="2" fontId="41" fillId="0" borderId="53" xfId="0" applyNumberFormat="1" applyFont="1" applyBorder="1" applyAlignment="1">
      <alignment horizontal="right"/>
    </xf>
    <xf numFmtId="2" fontId="43" fillId="0" borderId="53" xfId="0" applyNumberFormat="1" applyFont="1" applyBorder="1" applyAlignment="1">
      <alignment horizontal="left"/>
    </xf>
    <xf numFmtId="2" fontId="45" fillId="0" borderId="53" xfId="1" applyNumberFormat="1" applyFont="1" applyBorder="1" applyAlignment="1">
      <alignment horizontal="right"/>
    </xf>
    <xf numFmtId="2" fontId="45" fillId="0" borderId="53" xfId="0" applyNumberFormat="1" applyFont="1" applyBorder="1" applyAlignment="1">
      <alignment horizontal="right" wrapText="1"/>
    </xf>
    <xf numFmtId="2" fontId="45" fillId="0" borderId="16" xfId="2" applyNumberFormat="1" applyFont="1" applyBorder="1" applyAlignment="1">
      <alignment horizontal="right"/>
    </xf>
    <xf numFmtId="2" fontId="41" fillId="0" borderId="15" xfId="1" applyNumberFormat="1" applyFont="1" applyBorder="1" applyAlignment="1">
      <alignment horizontal="right"/>
    </xf>
    <xf numFmtId="1" fontId="26" fillId="0" borderId="25" xfId="0" applyNumberFormat="1" applyFont="1" applyBorder="1" applyAlignment="1">
      <alignment horizontal="left"/>
    </xf>
    <xf numFmtId="1" fontId="25" fillId="0" borderId="2" xfId="2" applyNumberFormat="1" applyFont="1" applyBorder="1" applyAlignment="1">
      <alignment horizontal="left"/>
    </xf>
    <xf numFmtId="1" fontId="25" fillId="0" borderId="2" xfId="1" applyNumberFormat="1" applyFont="1" applyBorder="1" applyAlignment="1">
      <alignment horizontal="left"/>
    </xf>
    <xf numFmtId="2" fontId="46" fillId="0" borderId="19" xfId="0" applyNumberFormat="1" applyFont="1" applyBorder="1" applyAlignment="1">
      <alignment horizontal="left" vertical="center"/>
    </xf>
    <xf numFmtId="2" fontId="17" fillId="0" borderId="21" xfId="0" applyNumberFormat="1" applyFont="1" applyBorder="1" applyAlignment="1">
      <alignment horizontal="left"/>
    </xf>
    <xf numFmtId="2" fontId="17" fillId="0" borderId="36" xfId="0" applyNumberFormat="1" applyFont="1" applyBorder="1" applyAlignment="1">
      <alignment horizontal="left"/>
    </xf>
    <xf numFmtId="2" fontId="17" fillId="0" borderId="19" xfId="0" applyNumberFormat="1" applyFont="1" applyBorder="1" applyAlignment="1">
      <alignment horizontal="left"/>
    </xf>
    <xf numFmtId="2" fontId="17" fillId="0" borderId="65" xfId="0" applyNumberFormat="1" applyFont="1" applyBorder="1" applyAlignment="1">
      <alignment horizontal="left"/>
    </xf>
    <xf numFmtId="2" fontId="46" fillId="0" borderId="19" xfId="0" applyNumberFormat="1" applyFont="1" applyBorder="1" applyAlignment="1">
      <alignment horizontal="left"/>
    </xf>
    <xf numFmtId="2" fontId="46" fillId="0" borderId="21" xfId="0" applyNumberFormat="1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2" fontId="17" fillId="0" borderId="19" xfId="0" applyNumberFormat="1" applyFont="1" applyBorder="1" applyAlignment="1">
      <alignment horizontal="left" wrapText="1"/>
    </xf>
    <xf numFmtId="2" fontId="17" fillId="0" borderId="19" xfId="0" applyNumberFormat="1" applyFont="1" applyFill="1" applyBorder="1" applyAlignment="1">
      <alignment horizontal="left"/>
    </xf>
    <xf numFmtId="2" fontId="17" fillId="0" borderId="19" xfId="1" applyNumberFormat="1" applyFont="1" applyBorder="1" applyAlignment="1">
      <alignment horizontal="left"/>
    </xf>
    <xf numFmtId="2" fontId="17" fillId="0" borderId="21" xfId="1" applyNumberFormat="1" applyFont="1" applyBorder="1" applyAlignment="1">
      <alignment horizontal="left"/>
    </xf>
    <xf numFmtId="2" fontId="17" fillId="0" borderId="43" xfId="0" applyNumberFormat="1" applyFont="1" applyBorder="1" applyAlignment="1">
      <alignment horizontal="left" vertical="center"/>
    </xf>
    <xf numFmtId="2" fontId="17" fillId="0" borderId="19" xfId="0" applyNumberFormat="1" applyFont="1" applyBorder="1" applyAlignment="1">
      <alignment horizontal="left" vertical="center"/>
    </xf>
    <xf numFmtId="2" fontId="17" fillId="0" borderId="65" xfId="0" applyNumberFormat="1" applyFont="1" applyBorder="1" applyAlignment="1">
      <alignment horizontal="left" vertical="center"/>
    </xf>
    <xf numFmtId="2" fontId="28" fillId="0" borderId="62" xfId="0" applyNumberFormat="1" applyFont="1" applyBorder="1" applyAlignment="1">
      <alignment horizontal="left" vertical="center"/>
    </xf>
    <xf numFmtId="2" fontId="28" fillId="0" borderId="63" xfId="0" applyNumberFormat="1" applyFont="1" applyBorder="1" applyAlignment="1">
      <alignment horizontal="left" vertical="center"/>
    </xf>
    <xf numFmtId="2" fontId="17" fillId="0" borderId="50" xfId="0" applyNumberFormat="1" applyFont="1" applyBorder="1" applyAlignment="1">
      <alignment horizontal="left" vertical="center"/>
    </xf>
    <xf numFmtId="2" fontId="28" fillId="0" borderId="52" xfId="1" applyNumberFormat="1" applyFont="1" applyBorder="1" applyAlignment="1">
      <alignment horizontal="left"/>
    </xf>
    <xf numFmtId="1" fontId="16" fillId="0" borderId="13" xfId="0" applyNumberFormat="1" applyFont="1" applyBorder="1" applyAlignment="1">
      <alignment horizontal="left"/>
    </xf>
    <xf numFmtId="2" fontId="16" fillId="0" borderId="72" xfId="0" applyNumberFormat="1" applyFont="1" applyBorder="1" applyAlignment="1">
      <alignment horizontal="left"/>
    </xf>
    <xf numFmtId="2" fontId="16" fillId="0" borderId="31" xfId="1" applyNumberFormat="1" applyFont="1" applyBorder="1" applyAlignment="1">
      <alignment horizontal="left"/>
    </xf>
    <xf numFmtId="1" fontId="16" fillId="0" borderId="1" xfId="0" applyNumberFormat="1" applyFont="1" applyFill="1" applyBorder="1" applyAlignment="1">
      <alignment horizontal="left"/>
    </xf>
    <xf numFmtId="1" fontId="42" fillId="0" borderId="13" xfId="0" applyNumberFormat="1" applyFont="1" applyBorder="1" applyAlignment="1">
      <alignment horizontal="left" vertical="center"/>
    </xf>
    <xf numFmtId="1" fontId="41" fillId="0" borderId="13" xfId="0" applyNumberFormat="1" applyFont="1" applyBorder="1" applyAlignment="1">
      <alignment horizontal="left" vertical="center"/>
    </xf>
    <xf numFmtId="1" fontId="16" fillId="0" borderId="73" xfId="0" applyNumberFormat="1" applyFont="1" applyBorder="1" applyAlignment="1">
      <alignment horizontal="left"/>
    </xf>
    <xf numFmtId="1" fontId="16" fillId="0" borderId="1" xfId="0" applyNumberFormat="1" applyFont="1" applyBorder="1" applyAlignment="1">
      <alignment horizontal="left" wrapText="1"/>
    </xf>
    <xf numFmtId="1" fontId="16" fillId="0" borderId="19" xfId="0" applyNumberFormat="1" applyFont="1" applyBorder="1" applyAlignment="1">
      <alignment horizontal="left" wrapText="1"/>
    </xf>
    <xf numFmtId="1" fontId="16" fillId="0" borderId="12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1" fontId="1" fillId="0" borderId="19" xfId="0" applyNumberFormat="1" applyFont="1" applyBorder="1" applyAlignment="1">
      <alignment horizontal="left"/>
    </xf>
    <xf numFmtId="1" fontId="17" fillId="0" borderId="74" xfId="0" applyNumberFormat="1" applyFont="1" applyBorder="1" applyAlignment="1">
      <alignment horizontal="left" vertical="center"/>
    </xf>
    <xf numFmtId="2" fontId="16" fillId="0" borderId="55" xfId="0" applyNumberFormat="1" applyFont="1" applyBorder="1" applyAlignment="1">
      <alignment horizontal="left"/>
    </xf>
    <xf numFmtId="1" fontId="16" fillId="0" borderId="19" xfId="2" applyNumberFormat="1" applyFont="1" applyBorder="1" applyAlignment="1">
      <alignment horizontal="left"/>
    </xf>
    <xf numFmtId="2" fontId="16" fillId="0" borderId="31" xfId="2" applyNumberFormat="1" applyFont="1" applyBorder="1" applyAlignment="1">
      <alignment horizontal="left"/>
    </xf>
    <xf numFmtId="2" fontId="17" fillId="0" borderId="73" xfId="0" applyNumberFormat="1" applyFont="1" applyBorder="1" applyAlignment="1">
      <alignment horizontal="left"/>
    </xf>
    <xf numFmtId="2" fontId="17" fillId="0" borderId="12" xfId="0" applyNumberFormat="1" applyFont="1" applyBorder="1" applyAlignment="1">
      <alignment horizontal="left"/>
    </xf>
    <xf numFmtId="2" fontId="16" fillId="0" borderId="67" xfId="0" applyNumberFormat="1" applyFont="1" applyBorder="1" applyAlignment="1">
      <alignment horizontal="left"/>
    </xf>
    <xf numFmtId="0" fontId="17" fillId="0" borderId="33" xfId="0" applyFont="1" applyBorder="1" applyAlignment="1">
      <alignment horizontal="left"/>
    </xf>
    <xf numFmtId="2" fontId="17" fillId="0" borderId="30" xfId="0" applyNumberFormat="1" applyFont="1" applyBorder="1" applyAlignment="1">
      <alignment horizontal="left"/>
    </xf>
    <xf numFmtId="2" fontId="28" fillId="0" borderId="25" xfId="0" applyNumberFormat="1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2" fontId="46" fillId="0" borderId="12" xfId="0" applyNumberFormat="1" applyFont="1" applyBorder="1" applyAlignment="1">
      <alignment horizontal="left"/>
    </xf>
    <xf numFmtId="2" fontId="17" fillId="0" borderId="45" xfId="0" applyNumberFormat="1" applyFont="1" applyBorder="1" applyAlignment="1">
      <alignment horizontal="left" vertical="center"/>
    </xf>
    <xf numFmtId="2" fontId="17" fillId="0" borderId="52" xfId="0" applyNumberFormat="1" applyFont="1" applyBorder="1" applyAlignment="1">
      <alignment horizontal="left" vertical="center"/>
    </xf>
    <xf numFmtId="1" fontId="16" fillId="0" borderId="9" xfId="1" applyNumberFormat="1" applyFont="1" applyBorder="1" applyAlignment="1">
      <alignment horizontal="left"/>
    </xf>
    <xf numFmtId="1" fontId="17" fillId="0" borderId="45" xfId="0" applyNumberFormat="1" applyFont="1" applyBorder="1" applyAlignment="1">
      <alignment horizontal="left"/>
    </xf>
    <xf numFmtId="1" fontId="25" fillId="0" borderId="18" xfId="0" applyNumberFormat="1" applyFont="1" applyBorder="1" applyAlignment="1">
      <alignment horizontal="left" vertical="center"/>
    </xf>
    <xf numFmtId="1" fontId="25" fillId="0" borderId="16" xfId="0" applyNumberFormat="1" applyFont="1" applyBorder="1" applyAlignment="1">
      <alignment horizontal="left" vertical="center"/>
    </xf>
    <xf numFmtId="2" fontId="26" fillId="0" borderId="18" xfId="0" applyNumberFormat="1" applyFont="1" applyBorder="1" applyAlignment="1">
      <alignment horizontal="left"/>
    </xf>
    <xf numFmtId="2" fontId="38" fillId="0" borderId="75" xfId="0" applyNumberFormat="1" applyFont="1" applyBorder="1" applyAlignment="1">
      <alignment horizontal="left"/>
    </xf>
    <xf numFmtId="1" fontId="26" fillId="0" borderId="18" xfId="0" applyNumberFormat="1" applyFont="1" applyBorder="1" applyAlignment="1">
      <alignment horizontal="left"/>
    </xf>
    <xf numFmtId="1" fontId="38" fillId="0" borderId="75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3" fontId="26" fillId="0" borderId="1" xfId="0" applyNumberFormat="1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3" fontId="38" fillId="0" borderId="12" xfId="0" applyNumberFormat="1" applyFont="1" applyBorder="1" applyAlignment="1">
      <alignment horizontal="left"/>
    </xf>
    <xf numFmtId="2" fontId="26" fillId="0" borderId="13" xfId="0" applyNumberFormat="1" applyFont="1" applyFill="1" applyBorder="1" applyAlignment="1">
      <alignment horizontal="left"/>
    </xf>
    <xf numFmtId="1" fontId="26" fillId="0" borderId="13" xfId="0" applyNumberFormat="1" applyFont="1" applyFill="1" applyBorder="1" applyAlignment="1">
      <alignment horizontal="left"/>
    </xf>
    <xf numFmtId="1" fontId="38" fillId="0" borderId="60" xfId="0" applyNumberFormat="1" applyFont="1" applyFill="1" applyBorder="1" applyAlignment="1">
      <alignment horizontal="left"/>
    </xf>
    <xf numFmtId="2" fontId="26" fillId="0" borderId="1" xfId="1" applyNumberFormat="1" applyFont="1" applyBorder="1" applyAlignment="1">
      <alignment horizontal="left"/>
    </xf>
    <xf numFmtId="1" fontId="26" fillId="0" borderId="15" xfId="0" applyNumberFormat="1" applyFont="1" applyBorder="1" applyAlignment="1">
      <alignment horizontal="left" vertical="center"/>
    </xf>
    <xf numFmtId="0" fontId="26" fillId="0" borderId="0" xfId="0" applyFont="1"/>
    <xf numFmtId="1" fontId="3" fillId="0" borderId="1" xfId="0" applyNumberFormat="1" applyFont="1" applyBorder="1" applyAlignment="1">
      <alignment horizontal="left"/>
    </xf>
    <xf numFmtId="1" fontId="26" fillId="0" borderId="1" xfId="2" applyNumberFormat="1" applyFont="1" applyBorder="1" applyAlignment="1">
      <alignment horizontal="left"/>
    </xf>
    <xf numFmtId="1" fontId="26" fillId="0" borderId="19" xfId="2" applyNumberFormat="1" applyFont="1" applyBorder="1" applyAlignment="1">
      <alignment horizontal="left"/>
    </xf>
    <xf numFmtId="1" fontId="26" fillId="0" borderId="76" xfId="0" applyNumberFormat="1" applyFont="1" applyBorder="1" applyAlignment="1">
      <alignment horizontal="left"/>
    </xf>
    <xf numFmtId="2" fontId="26" fillId="0" borderId="20" xfId="0" applyNumberFormat="1" applyFont="1" applyBorder="1" applyAlignment="1">
      <alignment horizontal="left" wrapText="1"/>
    </xf>
    <xf numFmtId="0" fontId="26" fillId="0" borderId="26" xfId="0" applyFont="1" applyBorder="1" applyAlignment="1">
      <alignment horizontal="left"/>
    </xf>
    <xf numFmtId="1" fontId="26" fillId="0" borderId="26" xfId="0" applyNumberFormat="1" applyFont="1" applyBorder="1" applyAlignment="1">
      <alignment horizontal="left"/>
    </xf>
    <xf numFmtId="2" fontId="17" fillId="0" borderId="13" xfId="0" applyNumberFormat="1" applyFont="1" applyBorder="1" applyAlignment="1">
      <alignment horizontal="left" vertical="center"/>
    </xf>
    <xf numFmtId="2" fontId="46" fillId="0" borderId="36" xfId="0" applyNumberFormat="1" applyFont="1" applyBorder="1" applyAlignment="1">
      <alignment horizontal="left" vertical="center"/>
    </xf>
    <xf numFmtId="2" fontId="28" fillId="0" borderId="24" xfId="0" applyNumberFormat="1" applyFont="1" applyBorder="1" applyAlignment="1">
      <alignment horizontal="left" vertical="center"/>
    </xf>
    <xf numFmtId="1" fontId="17" fillId="0" borderId="29" xfId="0" applyNumberFormat="1" applyFont="1" applyBorder="1" applyAlignment="1">
      <alignment horizontal="left"/>
    </xf>
    <xf numFmtId="0" fontId="16" fillId="0" borderId="70" xfId="0" applyFont="1" applyBorder="1" applyAlignment="1">
      <alignment horizontal="left"/>
    </xf>
    <xf numFmtId="1" fontId="24" fillId="0" borderId="7" xfId="0" applyNumberFormat="1" applyFont="1" applyBorder="1" applyAlignment="1">
      <alignment horizontal="left"/>
    </xf>
    <xf numFmtId="1" fontId="24" fillId="0" borderId="1" xfId="0" applyNumberFormat="1" applyFont="1" applyBorder="1" applyAlignment="1">
      <alignment horizontal="left"/>
    </xf>
    <xf numFmtId="1" fontId="24" fillId="0" borderId="19" xfId="0" applyNumberFormat="1" applyFont="1" applyBorder="1" applyAlignment="1">
      <alignment horizontal="left"/>
    </xf>
    <xf numFmtId="0" fontId="19" fillId="0" borderId="45" xfId="0" applyFont="1" applyBorder="1" applyAlignment="1">
      <alignment horizontal="left"/>
    </xf>
    <xf numFmtId="1" fontId="17" fillId="0" borderId="13" xfId="0" applyNumberFormat="1" applyFont="1" applyFill="1" applyBorder="1" applyAlignment="1">
      <alignment horizontal="left"/>
    </xf>
    <xf numFmtId="1" fontId="17" fillId="0" borderId="36" xfId="0" applyNumberFormat="1" applyFont="1" applyFill="1" applyBorder="1" applyAlignment="1">
      <alignment horizontal="left"/>
    </xf>
    <xf numFmtId="1" fontId="16" fillId="0" borderId="70" xfId="0" applyNumberFormat="1" applyFont="1" applyFill="1" applyBorder="1" applyAlignment="1">
      <alignment horizontal="left"/>
    </xf>
    <xf numFmtId="1" fontId="17" fillId="0" borderId="1" xfId="1" applyNumberFormat="1" applyFont="1" applyBorder="1" applyAlignment="1">
      <alignment horizontal="left"/>
    </xf>
    <xf numFmtId="1" fontId="17" fillId="0" borderId="19" xfId="1" applyNumberFormat="1" applyFont="1" applyBorder="1" applyAlignment="1">
      <alignment horizontal="left"/>
    </xf>
    <xf numFmtId="1" fontId="16" fillId="0" borderId="45" xfId="1" applyNumberFormat="1" applyFont="1" applyBorder="1" applyAlignment="1">
      <alignment horizontal="left"/>
    </xf>
    <xf numFmtId="1" fontId="17" fillId="0" borderId="18" xfId="0" applyNumberFormat="1" applyFont="1" applyBorder="1" applyAlignment="1">
      <alignment horizontal="left" vertical="center"/>
    </xf>
    <xf numFmtId="1" fontId="17" fillId="0" borderId="77" xfId="0" applyNumberFormat="1" applyFont="1" applyBorder="1" applyAlignment="1">
      <alignment horizontal="left" vertical="center"/>
    </xf>
    <xf numFmtId="1" fontId="28" fillId="0" borderId="51" xfId="0" applyNumberFormat="1" applyFont="1" applyBorder="1" applyAlignment="1">
      <alignment horizontal="left" vertical="center"/>
    </xf>
    <xf numFmtId="1" fontId="17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1" fontId="16" fillId="0" borderId="29" xfId="0" applyNumberFormat="1" applyFont="1" applyBorder="1" applyAlignment="1">
      <alignment horizontal="left"/>
    </xf>
    <xf numFmtId="1" fontId="16" fillId="0" borderId="36" xfId="0" applyNumberFormat="1" applyFont="1" applyBorder="1" applyAlignment="1">
      <alignment horizontal="left"/>
    </xf>
    <xf numFmtId="1" fontId="1" fillId="0" borderId="70" xfId="0" applyNumberFormat="1" applyFont="1" applyBorder="1" applyAlignment="1">
      <alignment horizontal="left"/>
    </xf>
    <xf numFmtId="1" fontId="16" fillId="0" borderId="29" xfId="2" applyNumberFormat="1" applyFont="1" applyBorder="1" applyAlignment="1">
      <alignment horizontal="left"/>
    </xf>
    <xf numFmtId="1" fontId="4" fillId="0" borderId="0" xfId="0" applyNumberFormat="1" applyFont="1" applyBorder="1" applyAlignment="1">
      <alignment horizontal="left"/>
    </xf>
    <xf numFmtId="1" fontId="4" fillId="0" borderId="17" xfId="0" applyNumberFormat="1" applyFont="1" applyBorder="1" applyAlignment="1">
      <alignment horizontal="left"/>
    </xf>
    <xf numFmtId="3" fontId="19" fillId="0" borderId="31" xfId="0" applyNumberFormat="1" applyFont="1" applyBorder="1" applyAlignment="1">
      <alignment horizontal="left"/>
    </xf>
    <xf numFmtId="3" fontId="19" fillId="0" borderId="33" xfId="0" applyNumberFormat="1" applyFont="1" applyBorder="1" applyAlignment="1">
      <alignment horizontal="left"/>
    </xf>
    <xf numFmtId="3" fontId="19" fillId="0" borderId="1" xfId="0" applyNumberFormat="1" applyFont="1" applyBorder="1" applyAlignment="1">
      <alignment horizontal="left"/>
    </xf>
    <xf numFmtId="3" fontId="19" fillId="0" borderId="3" xfId="0" applyNumberFormat="1" applyFont="1" applyBorder="1" applyAlignment="1">
      <alignment horizontal="left"/>
    </xf>
    <xf numFmtId="165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3" fontId="19" fillId="0" borderId="12" xfId="0" applyNumberFormat="1" applyFont="1" applyBorder="1" applyAlignment="1">
      <alignment horizontal="left"/>
    </xf>
    <xf numFmtId="3" fontId="19" fillId="0" borderId="30" xfId="0" applyNumberFormat="1" applyFont="1" applyBorder="1" applyAlignment="1">
      <alignment horizontal="left"/>
    </xf>
    <xf numFmtId="2" fontId="4" fillId="0" borderId="70" xfId="0" applyNumberFormat="1" applyFont="1" applyBorder="1" applyAlignment="1">
      <alignment horizontal="left"/>
    </xf>
    <xf numFmtId="1" fontId="28" fillId="0" borderId="25" xfId="0" applyNumberFormat="1" applyFont="1" applyBorder="1" applyAlignment="1">
      <alignment horizontal="left" vertical="center"/>
    </xf>
    <xf numFmtId="1" fontId="28" fillId="0" borderId="78" xfId="0" applyNumberFormat="1" applyFont="1" applyBorder="1" applyAlignment="1">
      <alignment horizontal="left" vertical="center"/>
    </xf>
    <xf numFmtId="0" fontId="4" fillId="0" borderId="45" xfId="0" applyFont="1" applyBorder="1" applyAlignment="1">
      <alignment horizontal="left"/>
    </xf>
    <xf numFmtId="1" fontId="16" fillId="0" borderId="7" xfId="0" applyNumberFormat="1" applyFont="1" applyFill="1" applyBorder="1" applyAlignment="1">
      <alignment horizontal="left"/>
    </xf>
    <xf numFmtId="1" fontId="16" fillId="0" borderId="9" xfId="0" applyNumberFormat="1" applyFont="1" applyFill="1" applyBorder="1" applyAlignment="1">
      <alignment horizontal="left"/>
    </xf>
    <xf numFmtId="1" fontId="16" fillId="0" borderId="19" xfId="0" applyNumberFormat="1" applyFont="1" applyFill="1" applyBorder="1" applyAlignment="1">
      <alignment horizontal="left"/>
    </xf>
    <xf numFmtId="1" fontId="4" fillId="0" borderId="45" xfId="0" applyNumberFormat="1" applyFont="1" applyFill="1" applyBorder="1" applyAlignment="1">
      <alignment horizontal="left"/>
    </xf>
    <xf numFmtId="1" fontId="27" fillId="0" borderId="4" xfId="0" applyNumberFormat="1" applyFont="1" applyBorder="1" applyAlignment="1">
      <alignment horizontal="left"/>
    </xf>
    <xf numFmtId="1" fontId="25" fillId="0" borderId="4" xfId="1" applyNumberFormat="1" applyFont="1" applyBorder="1" applyAlignment="1">
      <alignment horizontal="left"/>
    </xf>
    <xf numFmtId="2" fontId="21" fillId="0" borderId="67" xfId="0" applyNumberFormat="1" applyFont="1" applyBorder="1" applyAlignment="1">
      <alignment horizontal="left"/>
    </xf>
    <xf numFmtId="2" fontId="16" fillId="0" borderId="7" xfId="0" applyNumberFormat="1" applyFont="1" applyBorder="1" applyAlignment="1">
      <alignment horizontal="left" vertical="center"/>
    </xf>
    <xf numFmtId="2" fontId="16" fillId="0" borderId="9" xfId="0" applyNumberFormat="1" applyFont="1" applyBorder="1" applyAlignment="1">
      <alignment horizontal="left" vertical="center"/>
    </xf>
    <xf numFmtId="2" fontId="16" fillId="0" borderId="19" xfId="0" applyNumberFormat="1" applyFont="1" applyBorder="1" applyAlignment="1">
      <alignment horizontal="left" vertical="center"/>
    </xf>
    <xf numFmtId="2" fontId="17" fillId="0" borderId="0" xfId="0" applyNumberFormat="1" applyFont="1"/>
    <xf numFmtId="2" fontId="38" fillId="0" borderId="52" xfId="0" applyNumberFormat="1" applyFont="1" applyBorder="1" applyAlignment="1">
      <alignment horizontal="left" vertical="center"/>
    </xf>
    <xf numFmtId="1" fontId="26" fillId="0" borderId="45" xfId="0" applyNumberFormat="1" applyFont="1" applyBorder="1" applyAlignment="1">
      <alignment horizontal="left"/>
    </xf>
    <xf numFmtId="2" fontId="38" fillId="0" borderId="50" xfId="0" applyNumberFormat="1" applyFont="1" applyBorder="1" applyAlignment="1">
      <alignment horizontal="left" vertical="center"/>
    </xf>
    <xf numFmtId="1" fontId="38" fillId="0" borderId="53" xfId="0" applyNumberFormat="1" applyFont="1" applyBorder="1" applyAlignment="1">
      <alignment horizontal="left"/>
    </xf>
    <xf numFmtId="1" fontId="38" fillId="0" borderId="63" xfId="0" applyNumberFormat="1" applyFont="1" applyBorder="1" applyAlignment="1">
      <alignment horizontal="left"/>
    </xf>
    <xf numFmtId="1" fontId="26" fillId="0" borderId="39" xfId="0" applyNumberFormat="1" applyFont="1" applyBorder="1" applyAlignment="1">
      <alignment horizontal="left"/>
    </xf>
    <xf numFmtId="0" fontId="25" fillId="0" borderId="72" xfId="0" applyFont="1" applyBorder="1" applyAlignment="1">
      <alignment horizontal="left" vertical="center"/>
    </xf>
    <xf numFmtId="1" fontId="22" fillId="0" borderId="3" xfId="0" applyNumberFormat="1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38" fillId="0" borderId="53" xfId="0" applyFont="1" applyBorder="1" applyAlignment="1">
      <alignment horizontal="left"/>
    </xf>
    <xf numFmtId="0" fontId="23" fillId="0" borderId="74" xfId="0" applyFont="1" applyBorder="1" applyAlignment="1">
      <alignment vertical="center"/>
    </xf>
    <xf numFmtId="3" fontId="48" fillId="0" borderId="16" xfId="0" applyNumberFormat="1" applyFont="1" applyBorder="1" applyAlignment="1">
      <alignment horizontal="right"/>
    </xf>
    <xf numFmtId="0" fontId="21" fillId="0" borderId="16" xfId="0" applyFont="1" applyBorder="1"/>
    <xf numFmtId="3" fontId="45" fillId="0" borderId="16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3" fontId="49" fillId="0" borderId="16" xfId="0" applyNumberFormat="1" applyFont="1" applyBorder="1" applyAlignment="1">
      <alignment horizontal="right"/>
    </xf>
    <xf numFmtId="3" fontId="48" fillId="0" borderId="66" xfId="0" applyNumberFormat="1" applyFont="1" applyBorder="1" applyAlignment="1">
      <alignment horizontal="right"/>
    </xf>
    <xf numFmtId="3" fontId="45" fillId="0" borderId="53" xfId="0" applyNumberFormat="1" applyFont="1" applyBorder="1" applyAlignment="1">
      <alignment horizontal="right"/>
    </xf>
    <xf numFmtId="2" fontId="17" fillId="0" borderId="12" xfId="0" applyNumberFormat="1" applyFont="1" applyBorder="1" applyAlignment="1">
      <alignment horizontal="left" vertical="center"/>
    </xf>
    <xf numFmtId="1" fontId="25" fillId="0" borderId="66" xfId="0" applyNumberFormat="1" applyFont="1" applyBorder="1" applyAlignment="1">
      <alignment horizontal="left"/>
    </xf>
    <xf numFmtId="1" fontId="25" fillId="0" borderId="24" xfId="0" applyNumberFormat="1" applyFont="1" applyBorder="1" applyAlignment="1">
      <alignment horizontal="left"/>
    </xf>
    <xf numFmtId="1" fontId="25" fillId="0" borderId="17" xfId="0" applyNumberFormat="1" applyFont="1" applyBorder="1" applyAlignment="1">
      <alignment horizontal="left"/>
    </xf>
    <xf numFmtId="2" fontId="38" fillId="0" borderId="63" xfId="0" applyNumberFormat="1" applyFont="1" applyBorder="1" applyAlignment="1">
      <alignment horizontal="left" vertical="center"/>
    </xf>
    <xf numFmtId="1" fontId="26" fillId="0" borderId="65" xfId="0" applyNumberFormat="1" applyFont="1" applyBorder="1" applyAlignment="1">
      <alignment horizontal="left"/>
    </xf>
    <xf numFmtId="2" fontId="26" fillId="0" borderId="65" xfId="0" applyNumberFormat="1" applyFont="1" applyBorder="1" applyAlignment="1">
      <alignment horizontal="left"/>
    </xf>
    <xf numFmtId="2" fontId="38" fillId="0" borderId="69" xfId="0" applyNumberFormat="1" applyFont="1" applyBorder="1" applyAlignment="1">
      <alignment horizontal="left" vertical="center"/>
    </xf>
    <xf numFmtId="2" fontId="26" fillId="0" borderId="36" xfId="0" applyNumberFormat="1" applyFont="1" applyBorder="1" applyAlignment="1">
      <alignment horizontal="left"/>
    </xf>
    <xf numFmtId="2" fontId="26" fillId="0" borderId="65" xfId="2" applyNumberFormat="1" applyFont="1" applyBorder="1" applyAlignment="1">
      <alignment horizontal="left"/>
    </xf>
    <xf numFmtId="1" fontId="26" fillId="0" borderId="66" xfId="0" applyNumberFormat="1" applyFont="1" applyBorder="1" applyAlignment="1">
      <alignment horizontal="left"/>
    </xf>
    <xf numFmtId="0" fontId="26" fillId="0" borderId="78" xfId="0" applyFont="1" applyBorder="1" applyAlignment="1">
      <alignment horizontal="left"/>
    </xf>
    <xf numFmtId="2" fontId="26" fillId="0" borderId="65" xfId="0" applyNumberFormat="1" applyFont="1" applyBorder="1" applyAlignment="1">
      <alignment horizontal="left" vertical="center"/>
    </xf>
    <xf numFmtId="0" fontId="26" fillId="0" borderId="25" xfId="0" applyFont="1" applyBorder="1" applyAlignment="1">
      <alignment horizontal="left"/>
    </xf>
    <xf numFmtId="0" fontId="25" fillId="0" borderId="76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1" fontId="28" fillId="0" borderId="52" xfId="1" applyNumberFormat="1" applyFont="1" applyBorder="1" applyAlignment="1">
      <alignment horizontal="left"/>
    </xf>
    <xf numFmtId="1" fontId="28" fillId="0" borderId="53" xfId="1" applyNumberFormat="1" applyFont="1" applyBorder="1" applyAlignment="1">
      <alignment horizontal="left"/>
    </xf>
    <xf numFmtId="0" fontId="23" fillId="0" borderId="28" xfId="0" applyFont="1" applyBorder="1" applyAlignment="1">
      <alignment vertical="center"/>
    </xf>
    <xf numFmtId="1" fontId="25" fillId="0" borderId="48" xfId="0" applyNumberFormat="1" applyFont="1" applyFill="1" applyBorder="1" applyAlignment="1">
      <alignment horizontal="center" vertical="center" wrapText="1"/>
    </xf>
    <xf numFmtId="2" fontId="16" fillId="0" borderId="9" xfId="2" applyNumberFormat="1" applyFont="1" applyBorder="1" applyAlignment="1">
      <alignment horizontal="left"/>
    </xf>
    <xf numFmtId="2" fontId="16" fillId="0" borderId="3" xfId="0" applyNumberFormat="1" applyFont="1" applyBorder="1" applyAlignment="1">
      <alignment horizontal="left"/>
    </xf>
    <xf numFmtId="2" fontId="16" fillId="0" borderId="65" xfId="0" applyNumberFormat="1" applyFont="1" applyBorder="1" applyAlignment="1">
      <alignment horizontal="left"/>
    </xf>
    <xf numFmtId="2" fontId="17" fillId="0" borderId="39" xfId="0" applyNumberFormat="1" applyFont="1" applyBorder="1" applyAlignment="1">
      <alignment horizontal="left"/>
    </xf>
    <xf numFmtId="1" fontId="50" fillId="0" borderId="0" xfId="0" applyNumberFormat="1" applyFont="1" applyAlignment="1">
      <alignment horizontal="left"/>
    </xf>
    <xf numFmtId="0" fontId="38" fillId="0" borderId="58" xfId="0" applyFont="1" applyBorder="1" applyAlignment="1">
      <alignment horizontal="left"/>
    </xf>
    <xf numFmtId="0" fontId="38" fillId="0" borderId="51" xfId="0" applyFont="1" applyBorder="1" applyAlignment="1">
      <alignment horizontal="left"/>
    </xf>
    <xf numFmtId="1" fontId="27" fillId="0" borderId="71" xfId="0" applyNumberFormat="1" applyFont="1" applyBorder="1" applyAlignment="1">
      <alignment horizontal="left"/>
    </xf>
    <xf numFmtId="1" fontId="23" fillId="0" borderId="7" xfId="0" applyNumberFormat="1" applyFont="1" applyBorder="1" applyAlignment="1">
      <alignment horizontal="left" vertical="center"/>
    </xf>
    <xf numFmtId="1" fontId="23" fillId="0" borderId="29" xfId="0" applyNumberFormat="1" applyFont="1" applyBorder="1" applyAlignment="1">
      <alignment horizontal="left" vertical="center"/>
    </xf>
    <xf numFmtId="1" fontId="21" fillId="0" borderId="1" xfId="0" applyNumberFormat="1" applyFont="1" applyBorder="1" applyAlignment="1">
      <alignment horizontal="left"/>
    </xf>
    <xf numFmtId="1" fontId="48" fillId="0" borderId="7" xfId="0" applyNumberFormat="1" applyFont="1" applyBorder="1" applyAlignment="1">
      <alignment horizontal="left"/>
    </xf>
    <xf numFmtId="1" fontId="48" fillId="0" borderId="29" xfId="0" applyNumberFormat="1" applyFont="1" applyBorder="1" applyAlignment="1">
      <alignment horizontal="left"/>
    </xf>
    <xf numFmtId="1" fontId="23" fillId="0" borderId="1" xfId="0" applyNumberFormat="1" applyFont="1" applyBorder="1" applyAlignment="1">
      <alignment horizontal="left" vertical="center"/>
    </xf>
    <xf numFmtId="1" fontId="22" fillId="0" borderId="46" xfId="0" applyNumberFormat="1" applyFont="1" applyBorder="1" applyAlignment="1">
      <alignment horizontal="left"/>
    </xf>
    <xf numFmtId="1" fontId="21" fillId="0" borderId="1" xfId="0" applyNumberFormat="1" applyFont="1" applyBorder="1" applyAlignment="1">
      <alignment horizontal="left" vertical="center"/>
    </xf>
    <xf numFmtId="1" fontId="21" fillId="0" borderId="1" xfId="2" applyNumberFormat="1" applyFont="1" applyBorder="1" applyAlignment="1">
      <alignment horizontal="left"/>
    </xf>
    <xf numFmtId="1" fontId="21" fillId="0" borderId="1" xfId="0" applyNumberFormat="1" applyFont="1" applyBorder="1" applyAlignment="1">
      <alignment horizontal="left" wrapText="1"/>
    </xf>
    <xf numFmtId="1" fontId="48" fillId="0" borderId="1" xfId="0" applyNumberFormat="1" applyFont="1" applyBorder="1" applyAlignment="1">
      <alignment horizontal="left"/>
    </xf>
    <xf numFmtId="1" fontId="21" fillId="0" borderId="1" xfId="1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" fontId="20" fillId="0" borderId="6" xfId="0" applyNumberFormat="1" applyFont="1" applyBorder="1" applyAlignment="1">
      <alignment horizontal="left"/>
    </xf>
    <xf numFmtId="1" fontId="23" fillId="0" borderId="1" xfId="0" applyNumberFormat="1" applyFont="1" applyBorder="1" applyAlignment="1">
      <alignment horizontal="left"/>
    </xf>
    <xf numFmtId="1" fontId="22" fillId="0" borderId="68" xfId="0" applyNumberFormat="1" applyFont="1" applyBorder="1" applyAlignment="1">
      <alignment horizontal="left"/>
    </xf>
    <xf numFmtId="1" fontId="21" fillId="0" borderId="19" xfId="0" applyNumberFormat="1" applyFont="1" applyBorder="1" applyAlignment="1">
      <alignment horizontal="left" vertical="center"/>
    </xf>
    <xf numFmtId="1" fontId="21" fillId="0" borderId="19" xfId="0" applyNumberFormat="1" applyFont="1" applyBorder="1" applyAlignment="1">
      <alignment horizontal="left"/>
    </xf>
    <xf numFmtId="1" fontId="21" fillId="0" borderId="19" xfId="2" applyNumberFormat="1" applyFont="1" applyBorder="1" applyAlignment="1">
      <alignment horizontal="left"/>
    </xf>
    <xf numFmtId="1" fontId="5" fillId="0" borderId="19" xfId="0" applyNumberFormat="1" applyFont="1" applyBorder="1" applyAlignment="1">
      <alignment horizontal="left"/>
    </xf>
    <xf numFmtId="1" fontId="21" fillId="0" borderId="19" xfId="0" applyNumberFormat="1" applyFont="1" applyBorder="1" applyAlignment="1">
      <alignment horizontal="left" wrapText="1"/>
    </xf>
    <xf numFmtId="1" fontId="48" fillId="0" borderId="19" xfId="0" applyNumberFormat="1" applyFont="1" applyBorder="1" applyAlignment="1">
      <alignment horizontal="left"/>
    </xf>
    <xf numFmtId="1" fontId="40" fillId="0" borderId="67" xfId="0" applyNumberFormat="1" applyFont="1" applyBorder="1" applyAlignment="1">
      <alignment horizontal="left"/>
    </xf>
    <xf numFmtId="1" fontId="50" fillId="0" borderId="37" xfId="0" applyNumberFormat="1" applyFont="1" applyBorder="1" applyAlignment="1">
      <alignment horizontal="left"/>
    </xf>
    <xf numFmtId="1" fontId="50" fillId="0" borderId="79" xfId="0" applyNumberFormat="1" applyFont="1" applyBorder="1" applyAlignment="1">
      <alignment horizontal="left"/>
    </xf>
    <xf numFmtId="1" fontId="50" fillId="0" borderId="67" xfId="0" applyNumberFormat="1" applyFont="1" applyBorder="1" applyAlignment="1">
      <alignment horizontal="left"/>
    </xf>
    <xf numFmtId="1" fontId="25" fillId="0" borderId="71" xfId="0" applyNumberFormat="1" applyFont="1" applyBorder="1" applyAlignment="1">
      <alignment horizontal="left"/>
    </xf>
    <xf numFmtId="1" fontId="21" fillId="0" borderId="31" xfId="0" applyNumberFormat="1" applyFont="1" applyBorder="1" applyAlignment="1">
      <alignment horizontal="left" vertical="center"/>
    </xf>
    <xf numFmtId="1" fontId="21" fillId="0" borderId="72" xfId="0" applyNumberFormat="1" applyFont="1" applyBorder="1" applyAlignment="1">
      <alignment horizontal="left" vertical="center"/>
    </xf>
    <xf numFmtId="1" fontId="21" fillId="0" borderId="31" xfId="0" applyNumberFormat="1" applyFont="1" applyBorder="1" applyAlignment="1">
      <alignment horizontal="left"/>
    </xf>
    <xf numFmtId="1" fontId="21" fillId="0" borderId="72" xfId="0" applyNumberFormat="1" applyFont="1" applyBorder="1" applyAlignment="1">
      <alignment horizontal="left"/>
    </xf>
    <xf numFmtId="1" fontId="21" fillId="0" borderId="31" xfId="1" applyNumberFormat="1" applyFont="1" applyBorder="1" applyAlignment="1">
      <alignment horizontal="left"/>
    </xf>
    <xf numFmtId="1" fontId="21" fillId="0" borderId="72" xfId="1" applyNumberFormat="1" applyFont="1" applyBorder="1" applyAlignment="1">
      <alignment horizontal="left"/>
    </xf>
    <xf numFmtId="1" fontId="21" fillId="0" borderId="31" xfId="0" applyNumberFormat="1" applyFont="1" applyBorder="1" applyAlignment="1">
      <alignment horizontal="left" wrapText="1"/>
    </xf>
    <xf numFmtId="1" fontId="20" fillId="0" borderId="75" xfId="0" applyNumberFormat="1" applyFont="1" applyBorder="1" applyAlignment="1">
      <alignment horizontal="left"/>
    </xf>
    <xf numFmtId="1" fontId="20" fillId="0" borderId="12" xfId="0" applyNumberFormat="1" applyFont="1" applyBorder="1" applyAlignment="1">
      <alignment horizontal="left"/>
    </xf>
    <xf numFmtId="1" fontId="20" fillId="0" borderId="73" xfId="0" applyNumberFormat="1" applyFont="1" applyBorder="1" applyAlignment="1">
      <alignment horizontal="left"/>
    </xf>
    <xf numFmtId="0" fontId="27" fillId="0" borderId="49" xfId="0" applyFont="1" applyBorder="1" applyAlignment="1">
      <alignment horizontal="left"/>
    </xf>
    <xf numFmtId="0" fontId="38" fillId="0" borderId="58" xfId="0" applyFont="1" applyBorder="1" applyAlignment="1">
      <alignment horizontal="left" vertical="justify" wrapText="1"/>
    </xf>
    <xf numFmtId="0" fontId="38" fillId="0" borderId="49" xfId="0" applyFont="1" applyBorder="1" applyAlignment="1">
      <alignment horizontal="left" vertical="justify" wrapText="1"/>
    </xf>
    <xf numFmtId="0" fontId="24" fillId="0" borderId="28" xfId="0" applyFont="1" applyBorder="1" applyAlignment="1">
      <alignment horizontal="left"/>
    </xf>
    <xf numFmtId="0" fontId="16" fillId="0" borderId="8" xfId="0" applyFont="1" applyBorder="1"/>
    <xf numFmtId="0" fontId="16" fillId="0" borderId="29" xfId="0" applyFont="1" applyBorder="1"/>
    <xf numFmtId="0" fontId="16" fillId="0" borderId="7" xfId="0" applyFont="1" applyBorder="1"/>
    <xf numFmtId="0" fontId="16" fillId="0" borderId="9" xfId="0" applyFont="1" applyBorder="1"/>
    <xf numFmtId="0" fontId="16" fillId="0" borderId="4" xfId="0" applyFont="1" applyBorder="1"/>
    <xf numFmtId="0" fontId="16" fillId="0" borderId="13" xfId="0" applyFont="1" applyBorder="1"/>
    <xf numFmtId="0" fontId="16" fillId="0" borderId="1" xfId="0" applyFont="1" applyBorder="1"/>
    <xf numFmtId="0" fontId="16" fillId="0" borderId="3" xfId="0" applyFont="1" applyBorder="1"/>
    <xf numFmtId="0" fontId="16" fillId="0" borderId="4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8" xfId="0" applyFont="1" applyBorder="1"/>
    <xf numFmtId="0" fontId="17" fillId="0" borderId="4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" xfId="0" applyFont="1" applyBorder="1"/>
    <xf numFmtId="0" fontId="17" fillId="0" borderId="3" xfId="0" applyFont="1" applyBorder="1"/>
    <xf numFmtId="0" fontId="17" fillId="0" borderId="4" xfId="0" applyFont="1" applyBorder="1"/>
    <xf numFmtId="0" fontId="17" fillId="0" borderId="13" xfId="0" applyFont="1" applyBorder="1"/>
    <xf numFmtId="1" fontId="17" fillId="0" borderId="15" xfId="0" applyNumberFormat="1" applyFont="1" applyBorder="1" applyAlignment="1">
      <alignment horizontal="left" vertical="center"/>
    </xf>
    <xf numFmtId="1" fontId="16" fillId="0" borderId="7" xfId="0" applyNumberFormat="1" applyFont="1" applyBorder="1" applyAlignment="1">
      <alignment horizontal="left" vertical="center" shrinkToFit="1"/>
    </xf>
    <xf numFmtId="1" fontId="16" fillId="0" borderId="1" xfId="0" applyNumberFormat="1" applyFont="1" applyBorder="1" applyAlignment="1">
      <alignment horizontal="left" vertical="top" shrinkToFit="1"/>
    </xf>
    <xf numFmtId="1" fontId="16" fillId="0" borderId="1" xfId="0" applyNumberFormat="1" applyFont="1" applyBorder="1" applyAlignment="1">
      <alignment horizontal="left" vertical="top" wrapText="1"/>
    </xf>
    <xf numFmtId="1" fontId="16" fillId="0" borderId="46" xfId="0" applyNumberFormat="1" applyFont="1" applyBorder="1" applyAlignment="1">
      <alignment horizontal="left"/>
    </xf>
    <xf numFmtId="1" fontId="16" fillId="0" borderId="19" xfId="0" applyNumberFormat="1" applyFont="1" applyBorder="1" applyAlignment="1">
      <alignment horizontal="left" vertical="top" wrapText="1"/>
    </xf>
    <xf numFmtId="1" fontId="16" fillId="0" borderId="68" xfId="0" applyNumberFormat="1" applyFont="1" applyBorder="1" applyAlignment="1">
      <alignment horizontal="left"/>
    </xf>
    <xf numFmtId="1" fontId="41" fillId="0" borderId="12" xfId="0" applyNumberFormat="1" applyFont="1" applyBorder="1" applyAlignment="1">
      <alignment horizontal="left" vertical="center"/>
    </xf>
    <xf numFmtId="1" fontId="41" fillId="0" borderId="27" xfId="0" applyNumberFormat="1" applyFont="1" applyBorder="1" applyAlignment="1">
      <alignment horizontal="left" vertical="center"/>
    </xf>
    <xf numFmtId="2" fontId="41" fillId="0" borderId="27" xfId="0" applyNumberFormat="1" applyFont="1" applyBorder="1" applyAlignment="1">
      <alignment horizontal="left" vertical="center"/>
    </xf>
    <xf numFmtId="1" fontId="41" fillId="0" borderId="36" xfId="0" applyNumberFormat="1" applyFont="1" applyBorder="1" applyAlignment="1">
      <alignment horizontal="left" vertical="center"/>
    </xf>
    <xf numFmtId="1" fontId="42" fillId="0" borderId="28" xfId="0" applyNumberFormat="1" applyFont="1" applyBorder="1" applyAlignment="1">
      <alignment horizontal="left" vertical="center" shrinkToFit="1"/>
    </xf>
    <xf numFmtId="1" fontId="41" fillId="0" borderId="65" xfId="0" applyNumberFormat="1" applyFont="1" applyBorder="1" applyAlignment="1">
      <alignment horizontal="left" vertical="center"/>
    </xf>
    <xf numFmtId="2" fontId="16" fillId="0" borderId="31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left" vertical="top" shrinkToFit="1"/>
    </xf>
    <xf numFmtId="2" fontId="17" fillId="0" borderId="12" xfId="0" applyNumberFormat="1" applyFont="1" applyBorder="1" applyAlignment="1">
      <alignment horizontal="left" vertical="top" shrinkToFit="1"/>
    </xf>
    <xf numFmtId="1" fontId="16" fillId="0" borderId="12" xfId="0" applyNumberFormat="1" applyFont="1" applyBorder="1" applyAlignment="1">
      <alignment horizontal="left"/>
    </xf>
    <xf numFmtId="2" fontId="16" fillId="0" borderId="12" xfId="2" applyNumberFormat="1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1" fontId="23" fillId="0" borderId="28" xfId="0" applyNumberFormat="1" applyFont="1" applyBorder="1" applyAlignment="1">
      <alignment horizontal="left" vertical="center"/>
    </xf>
    <xf numFmtId="1" fontId="23" fillId="0" borderId="25" xfId="0" applyNumberFormat="1" applyFont="1" applyBorder="1" applyAlignment="1">
      <alignment horizontal="left" vertical="center"/>
    </xf>
    <xf numFmtId="1" fontId="23" fillId="0" borderId="76" xfId="0" applyNumberFormat="1" applyFont="1" applyBorder="1" applyAlignment="1">
      <alignment horizontal="left" vertical="center"/>
    </xf>
    <xf numFmtId="1" fontId="23" fillId="0" borderId="15" xfId="0" applyNumberFormat="1" applyFont="1" applyBorder="1" applyAlignment="1">
      <alignment horizontal="left" vertical="center"/>
    </xf>
    <xf numFmtId="1" fontId="23" fillId="0" borderId="12" xfId="0" applyNumberFormat="1" applyFont="1" applyBorder="1" applyAlignment="1">
      <alignment horizontal="left" vertical="center"/>
    </xf>
    <xf numFmtId="1" fontId="23" fillId="0" borderId="42" xfId="0" applyNumberFormat="1" applyFont="1" applyBorder="1" applyAlignment="1">
      <alignment horizontal="left" vertical="center"/>
    </xf>
    <xf numFmtId="1" fontId="23" fillId="0" borderId="45" xfId="0" applyNumberFormat="1" applyFont="1" applyBorder="1" applyAlignment="1">
      <alignment horizontal="left" vertical="center"/>
    </xf>
    <xf numFmtId="1" fontId="23" fillId="0" borderId="14" xfId="0" applyNumberFormat="1" applyFont="1" applyBorder="1" applyAlignment="1">
      <alignment horizontal="left" vertical="center"/>
    </xf>
    <xf numFmtId="1" fontId="23" fillId="0" borderId="52" xfId="0" applyNumberFormat="1" applyFont="1" applyBorder="1" applyAlignment="1">
      <alignment horizontal="left" vertical="center"/>
    </xf>
    <xf numFmtId="1" fontId="23" fillId="0" borderId="49" xfId="0" applyNumberFormat="1" applyFont="1" applyBorder="1" applyAlignment="1">
      <alignment horizontal="left" vertical="center"/>
    </xf>
    <xf numFmtId="1" fontId="43" fillId="0" borderId="13" xfId="0" applyNumberFormat="1" applyFont="1" applyBorder="1" applyAlignment="1">
      <alignment horizontal="left"/>
    </xf>
    <xf numFmtId="1" fontId="43" fillId="0" borderId="1" xfId="0" applyNumberFormat="1" applyFont="1" applyBorder="1" applyAlignment="1">
      <alignment horizontal="left" vertical="center"/>
    </xf>
    <xf numFmtId="1" fontId="43" fillId="0" borderId="1" xfId="0" applyNumberFormat="1" applyFont="1" applyBorder="1" applyAlignment="1">
      <alignment horizontal="left"/>
    </xf>
    <xf numFmtId="1" fontId="43" fillId="0" borderId="2" xfId="0" applyNumberFormat="1" applyFont="1" applyBorder="1" applyAlignment="1">
      <alignment horizontal="left"/>
    </xf>
    <xf numFmtId="1" fontId="43" fillId="0" borderId="4" xfId="0" applyNumberFormat="1" applyFont="1" applyBorder="1" applyAlignment="1">
      <alignment horizontal="left"/>
    </xf>
    <xf numFmtId="1" fontId="43" fillId="0" borderId="18" xfId="0" applyNumberFormat="1" applyFont="1" applyBorder="1" applyAlignment="1">
      <alignment horizontal="left"/>
    </xf>
    <xf numFmtId="1" fontId="43" fillId="0" borderId="2" xfId="2" applyNumberFormat="1" applyFont="1" applyBorder="1" applyAlignment="1">
      <alignment horizontal="left"/>
    </xf>
    <xf numFmtId="1" fontId="43" fillId="0" borderId="2" xfId="1" applyNumberFormat="1" applyFont="1" applyBorder="1" applyAlignment="1">
      <alignment horizontal="left"/>
    </xf>
    <xf numFmtId="1" fontId="43" fillId="0" borderId="1" xfId="1" applyNumberFormat="1" applyFont="1" applyBorder="1" applyAlignment="1">
      <alignment horizontal="left"/>
    </xf>
    <xf numFmtId="1" fontId="43" fillId="0" borderId="15" xfId="0" applyNumberFormat="1" applyFont="1" applyBorder="1" applyAlignment="1">
      <alignment horizontal="left"/>
    </xf>
    <xf numFmtId="1" fontId="43" fillId="0" borderId="0" xfId="0" applyNumberFormat="1" applyFont="1" applyAlignment="1">
      <alignment horizontal="left"/>
    </xf>
    <xf numFmtId="2" fontId="21" fillId="0" borderId="6" xfId="0" applyNumberFormat="1" applyFont="1" applyBorder="1" applyAlignment="1">
      <alignment horizontal="left"/>
    </xf>
    <xf numFmtId="0" fontId="43" fillId="0" borderId="15" xfId="0" applyFont="1" applyBorder="1" applyAlignment="1">
      <alignment horizontal="left"/>
    </xf>
    <xf numFmtId="0" fontId="41" fillId="0" borderId="6" xfId="0" applyFont="1" applyBorder="1" applyAlignment="1">
      <alignment horizontal="left"/>
    </xf>
    <xf numFmtId="0" fontId="19" fillId="0" borderId="57" xfId="0" applyFont="1" applyBorder="1" applyAlignment="1">
      <alignment horizontal="left"/>
    </xf>
    <xf numFmtId="0" fontId="20" fillId="0" borderId="74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20" fillId="0" borderId="57" xfId="0" applyFont="1" applyBorder="1" applyAlignment="1">
      <alignment horizontal="left"/>
    </xf>
    <xf numFmtId="0" fontId="20" fillId="0" borderId="46" xfId="0" applyFont="1" applyBorder="1" applyAlignment="1">
      <alignment horizontal="left"/>
    </xf>
    <xf numFmtId="1" fontId="38" fillId="0" borderId="58" xfId="0" applyNumberFormat="1" applyFont="1" applyBorder="1" applyAlignment="1">
      <alignment horizontal="center" vertical="justify" wrapText="1"/>
    </xf>
    <xf numFmtId="1" fontId="38" fillId="0" borderId="51" xfId="0" applyNumberFormat="1" applyFont="1" applyBorder="1" applyAlignment="1">
      <alignment horizontal="center" vertical="justify" wrapText="1"/>
    </xf>
    <xf numFmtId="0" fontId="20" fillId="0" borderId="28" xfId="0" applyFont="1" applyBorder="1" applyAlignment="1">
      <alignment horizontal="left"/>
    </xf>
    <xf numFmtId="0" fontId="19" fillId="0" borderId="68" xfId="0" applyFont="1" applyBorder="1" applyAlignment="1">
      <alignment horizontal="left"/>
    </xf>
    <xf numFmtId="0" fontId="20" fillId="0" borderId="68" xfId="0" applyFont="1" applyBorder="1" applyAlignment="1">
      <alignment horizontal="left"/>
    </xf>
    <xf numFmtId="0" fontId="21" fillId="0" borderId="66" xfId="0" applyFont="1" applyBorder="1" applyAlignment="1">
      <alignment horizontal="left"/>
    </xf>
    <xf numFmtId="0" fontId="20" fillId="0" borderId="66" xfId="0" applyFont="1" applyBorder="1" applyAlignment="1">
      <alignment horizontal="left"/>
    </xf>
    <xf numFmtId="0" fontId="20" fillId="0" borderId="27" xfId="0" applyFont="1" applyBorder="1" applyAlignment="1">
      <alignment horizontal="left"/>
    </xf>
    <xf numFmtId="0" fontId="20" fillId="0" borderId="77" xfId="0" applyFont="1" applyBorder="1" applyAlignment="1">
      <alignment horizontal="left"/>
    </xf>
    <xf numFmtId="0" fontId="45" fillId="0" borderId="58" xfId="0" applyFont="1" applyBorder="1" applyAlignment="1">
      <alignment horizontal="left"/>
    </xf>
    <xf numFmtId="0" fontId="45" fillId="0" borderId="53" xfId="0" applyFont="1" applyBorder="1" applyAlignment="1">
      <alignment horizontal="left"/>
    </xf>
    <xf numFmtId="0" fontId="45" fillId="0" borderId="63" xfId="0" applyFont="1" applyBorder="1" applyAlignment="1">
      <alignment horizontal="left"/>
    </xf>
    <xf numFmtId="0" fontId="45" fillId="0" borderId="51" xfId="0" applyFont="1" applyBorder="1" applyAlignment="1">
      <alignment horizontal="left"/>
    </xf>
    <xf numFmtId="0" fontId="45" fillId="0" borderId="49" xfId="0" applyFont="1" applyBorder="1" applyAlignment="1">
      <alignment horizontal="left"/>
    </xf>
    <xf numFmtId="0" fontId="42" fillId="0" borderId="0" xfId="0" applyFont="1" applyAlignment="1">
      <alignment horizontal="left"/>
    </xf>
    <xf numFmtId="1" fontId="38" fillId="0" borderId="53" xfId="0" applyNumberFormat="1" applyFont="1" applyBorder="1" applyAlignment="1">
      <alignment horizontal="center" vertical="justify" wrapText="1"/>
    </xf>
    <xf numFmtId="2" fontId="38" fillId="0" borderId="25" xfId="0" applyNumberFormat="1" applyFont="1" applyBorder="1" applyAlignment="1">
      <alignment horizontal="left"/>
    </xf>
    <xf numFmtId="2" fontId="38" fillId="0" borderId="78" xfId="0" applyNumberFormat="1" applyFont="1" applyBorder="1" applyAlignment="1">
      <alignment horizontal="left"/>
    </xf>
    <xf numFmtId="2" fontId="38" fillId="0" borderId="26" xfId="0" applyNumberFormat="1" applyFont="1" applyBorder="1" applyAlignment="1">
      <alignment horizontal="left"/>
    </xf>
    <xf numFmtId="1" fontId="38" fillId="0" borderId="51" xfId="0" applyNumberFormat="1" applyFont="1" applyBorder="1" applyAlignment="1">
      <alignment horizontal="left"/>
    </xf>
    <xf numFmtId="2" fontId="38" fillId="0" borderId="51" xfId="0" applyNumberFormat="1" applyFont="1" applyBorder="1" applyAlignment="1">
      <alignment horizontal="left"/>
    </xf>
    <xf numFmtId="2" fontId="38" fillId="0" borderId="53" xfId="0" applyNumberFormat="1" applyFont="1" applyBorder="1" applyAlignment="1">
      <alignment horizontal="left"/>
    </xf>
    <xf numFmtId="2" fontId="38" fillId="0" borderId="58" xfId="0" applyNumberFormat="1" applyFont="1" applyBorder="1" applyAlignment="1">
      <alignment horizontal="left"/>
    </xf>
    <xf numFmtId="1" fontId="38" fillId="0" borderId="58" xfId="0" applyNumberFormat="1" applyFont="1" applyBorder="1" applyAlignment="1">
      <alignment horizontal="left"/>
    </xf>
    <xf numFmtId="2" fontId="38" fillId="0" borderId="49" xfId="0" applyNumberFormat="1" applyFont="1" applyBorder="1" applyAlignment="1">
      <alignment horizontal="left"/>
    </xf>
    <xf numFmtId="2" fontId="38" fillId="0" borderId="50" xfId="0" applyNumberFormat="1" applyFont="1" applyBorder="1" applyAlignment="1">
      <alignment horizontal="left"/>
    </xf>
    <xf numFmtId="2" fontId="38" fillId="0" borderId="62" xfId="0" applyNumberFormat="1" applyFont="1" applyBorder="1" applyAlignment="1">
      <alignment horizontal="left"/>
    </xf>
    <xf numFmtId="0" fontId="49" fillId="0" borderId="0" xfId="0" applyFont="1" applyAlignment="1">
      <alignment horizontal="left"/>
    </xf>
    <xf numFmtId="2" fontId="23" fillId="0" borderId="74" xfId="0" applyNumberFormat="1" applyFont="1" applyBorder="1" applyAlignment="1">
      <alignment horizontal="left"/>
    </xf>
    <xf numFmtId="2" fontId="32" fillId="0" borderId="47" xfId="0" applyNumberFormat="1" applyFont="1" applyBorder="1" applyAlignment="1">
      <alignment horizontal="left"/>
    </xf>
    <xf numFmtId="2" fontId="23" fillId="0" borderId="47" xfId="0" applyNumberFormat="1" applyFont="1" applyBorder="1" applyAlignment="1">
      <alignment horizontal="left"/>
    </xf>
    <xf numFmtId="2" fontId="32" fillId="0" borderId="51" xfId="0" applyNumberFormat="1" applyFont="1" applyBorder="1" applyAlignment="1">
      <alignment horizontal="left"/>
    </xf>
    <xf numFmtId="2" fontId="21" fillId="0" borderId="9" xfId="1" applyNumberFormat="1" applyFont="1" applyBorder="1" applyAlignment="1">
      <alignment horizontal="left"/>
    </xf>
    <xf numFmtId="2" fontId="21" fillId="0" borderId="3" xfId="1" applyNumberFormat="1" applyFont="1" applyBorder="1" applyAlignment="1">
      <alignment horizontal="left"/>
    </xf>
    <xf numFmtId="2" fontId="21" fillId="0" borderId="65" xfId="1" applyNumberFormat="1" applyFont="1" applyBorder="1" applyAlignment="1">
      <alignment horizontal="left"/>
    </xf>
    <xf numFmtId="2" fontId="32" fillId="0" borderId="41" xfId="1" applyNumberFormat="1" applyFont="1" applyBorder="1" applyAlignment="1">
      <alignment horizontal="left"/>
    </xf>
    <xf numFmtId="2" fontId="21" fillId="0" borderId="39" xfId="1" applyNumberFormat="1" applyFont="1" applyBorder="1" applyAlignment="1">
      <alignment horizontal="left"/>
    </xf>
    <xf numFmtId="165" fontId="24" fillId="0" borderId="72" xfId="0" applyNumberFormat="1" applyFont="1" applyBorder="1" applyAlignment="1">
      <alignment horizontal="left"/>
    </xf>
    <xf numFmtId="165" fontId="24" fillId="0" borderId="13" xfId="0" applyNumberFormat="1" applyFont="1" applyBorder="1" applyAlignment="1">
      <alignment horizontal="left"/>
    </xf>
    <xf numFmtId="165" fontId="24" fillId="0" borderId="73" xfId="0" applyNumberFormat="1" applyFont="1" applyBorder="1" applyAlignment="1">
      <alignment horizontal="left"/>
    </xf>
    <xf numFmtId="2" fontId="28" fillId="0" borderId="74" xfId="0" applyNumberFormat="1" applyFont="1" applyBorder="1" applyAlignment="1">
      <alignment horizontal="left" vertical="center"/>
    </xf>
    <xf numFmtId="2" fontId="17" fillId="0" borderId="1" xfId="0" applyNumberFormat="1" applyFont="1" applyFill="1" applyBorder="1" applyAlignment="1">
      <alignment horizontal="left"/>
    </xf>
    <xf numFmtId="2" fontId="17" fillId="0" borderId="3" xfId="0" applyNumberFormat="1" applyFont="1" applyFill="1" applyBorder="1" applyAlignment="1">
      <alignment horizontal="left"/>
    </xf>
    <xf numFmtId="2" fontId="17" fillId="0" borderId="65" xfId="0" applyNumberFormat="1" applyFont="1" applyFill="1" applyBorder="1" applyAlignment="1">
      <alignment horizontal="left"/>
    </xf>
    <xf numFmtId="0" fontId="17" fillId="0" borderId="29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2" fontId="28" fillId="0" borderId="13" xfId="0" applyNumberFormat="1" applyFont="1" applyBorder="1" applyAlignment="1">
      <alignment horizontal="left" vertical="center"/>
    </xf>
    <xf numFmtId="0" fontId="17" fillId="0" borderId="36" xfId="0" applyFont="1" applyBorder="1" applyAlignment="1">
      <alignment horizontal="left"/>
    </xf>
    <xf numFmtId="2" fontId="28" fillId="0" borderId="69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/>
    </xf>
    <xf numFmtId="0" fontId="17" fillId="0" borderId="72" xfId="0" applyFont="1" applyBorder="1" applyAlignment="1">
      <alignment horizontal="left" vertical="center"/>
    </xf>
    <xf numFmtId="2" fontId="46" fillId="0" borderId="73" xfId="0" applyNumberFormat="1" applyFont="1" applyBorder="1" applyAlignment="1">
      <alignment horizontal="left"/>
    </xf>
    <xf numFmtId="2" fontId="28" fillId="0" borderId="80" xfId="0" applyNumberFormat="1" applyFont="1" applyBorder="1" applyAlignment="1">
      <alignment horizontal="left" vertical="center"/>
    </xf>
    <xf numFmtId="0" fontId="49" fillId="0" borderId="41" xfId="0" applyFont="1" applyBorder="1" applyAlignment="1">
      <alignment horizontal="left"/>
    </xf>
    <xf numFmtId="0" fontId="38" fillId="0" borderId="49" xfId="0" applyFont="1" applyBorder="1" applyAlignment="1">
      <alignment horizontal="fill" vertical="justify" wrapText="1"/>
    </xf>
    <xf numFmtId="0" fontId="39" fillId="0" borderId="0" xfId="0" applyFont="1" applyAlignment="1">
      <alignment horizontal="fill" vertical="justify" wrapText="1"/>
    </xf>
    <xf numFmtId="0" fontId="26" fillId="0" borderId="10" xfId="0" applyFont="1" applyBorder="1" applyAlignment="1">
      <alignment horizontal="left"/>
    </xf>
    <xf numFmtId="0" fontId="26" fillId="0" borderId="74" xfId="0" applyFont="1" applyBorder="1" applyAlignment="1">
      <alignment horizontal="left"/>
    </xf>
    <xf numFmtId="0" fontId="26" fillId="0" borderId="8" xfId="0" applyFont="1" applyBorder="1"/>
    <xf numFmtId="0" fontId="26" fillId="0" borderId="28" xfId="0" applyFont="1" applyBorder="1" applyAlignment="1">
      <alignment horizontal="left"/>
    </xf>
    <xf numFmtId="0" fontId="26" fillId="0" borderId="57" xfId="0" applyFont="1" applyBorder="1" applyAlignment="1">
      <alignment horizontal="left"/>
    </xf>
    <xf numFmtId="0" fontId="26" fillId="0" borderId="57" xfId="0" applyFont="1" applyBorder="1"/>
    <xf numFmtId="0" fontId="26" fillId="0" borderId="3" xfId="0" applyFont="1" applyBorder="1"/>
    <xf numFmtId="0" fontId="51" fillId="0" borderId="15" xfId="0" applyFont="1" applyBorder="1" applyAlignment="1">
      <alignment horizontal="left"/>
    </xf>
    <xf numFmtId="0" fontId="26" fillId="0" borderId="16" xfId="0" applyFont="1" applyBorder="1" applyAlignment="1">
      <alignment horizontal="left"/>
    </xf>
    <xf numFmtId="0" fontId="26" fillId="0" borderId="18" xfId="0" applyFont="1" applyBorder="1" applyAlignment="1">
      <alignment horizontal="left"/>
    </xf>
    <xf numFmtId="0" fontId="26" fillId="0" borderId="4" xfId="0" applyFont="1" applyBorder="1"/>
    <xf numFmtId="0" fontId="26" fillId="0" borderId="46" xfId="0" applyFont="1" applyBorder="1" applyAlignment="1">
      <alignment horizontal="left"/>
    </xf>
    <xf numFmtId="0" fontId="26" fillId="0" borderId="46" xfId="0" applyFont="1" applyBorder="1"/>
    <xf numFmtId="3" fontId="22" fillId="0" borderId="16" xfId="0" applyNumberFormat="1" applyFont="1" applyBorder="1" applyAlignment="1">
      <alignment horizontal="left"/>
    </xf>
    <xf numFmtId="0" fontId="26" fillId="0" borderId="66" xfId="0" applyFont="1" applyBorder="1" applyAlignment="1">
      <alignment horizontal="left"/>
    </xf>
    <xf numFmtId="0" fontId="26" fillId="0" borderId="7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68" xfId="0" applyFont="1" applyBorder="1" applyAlignment="1">
      <alignment horizontal="left"/>
    </xf>
    <xf numFmtId="0" fontId="26" fillId="0" borderId="20" xfId="0" applyFont="1" applyBorder="1"/>
    <xf numFmtId="3" fontId="22" fillId="0" borderId="66" xfId="0" applyNumberFormat="1" applyFont="1" applyBorder="1" applyAlignment="1">
      <alignment horizontal="left"/>
    </xf>
    <xf numFmtId="0" fontId="26" fillId="0" borderId="14" xfId="0" applyFont="1" applyBorder="1" applyAlignment="1">
      <alignment horizontal="left"/>
    </xf>
    <xf numFmtId="3" fontId="22" fillId="0" borderId="17" xfId="0" applyNumberFormat="1" applyFont="1" applyBorder="1" applyAlignment="1">
      <alignment horizontal="left"/>
    </xf>
    <xf numFmtId="0" fontId="26" fillId="0" borderId="43" xfId="0" applyFont="1" applyBorder="1"/>
    <xf numFmtId="0" fontId="26" fillId="0" borderId="0" xfId="0" applyFont="1" applyBorder="1"/>
    <xf numFmtId="3" fontId="38" fillId="0" borderId="53" xfId="0" applyNumberFormat="1" applyFont="1" applyBorder="1" applyAlignment="1">
      <alignment horizontal="left"/>
    </xf>
    <xf numFmtId="0" fontId="25" fillId="0" borderId="49" xfId="0" applyFont="1" applyBorder="1" applyAlignment="1">
      <alignment horizontal="left"/>
    </xf>
    <xf numFmtId="0" fontId="38" fillId="0" borderId="0" xfId="0" applyFont="1"/>
    <xf numFmtId="0" fontId="52" fillId="0" borderId="0" xfId="0" applyFont="1"/>
    <xf numFmtId="0" fontId="19" fillId="0" borderId="27" xfId="0" applyFont="1" applyBorder="1" applyAlignment="1">
      <alignment horizontal="left"/>
    </xf>
    <xf numFmtId="0" fontId="20" fillId="0" borderId="66" xfId="0" applyFont="1" applyBorder="1"/>
    <xf numFmtId="0" fontId="20" fillId="0" borderId="20" xfId="0" applyFont="1" applyBorder="1"/>
    <xf numFmtId="0" fontId="20" fillId="0" borderId="77" xfId="0" applyFont="1" applyBorder="1"/>
    <xf numFmtId="0" fontId="20" fillId="0" borderId="27" xfId="0" applyFont="1" applyBorder="1"/>
    <xf numFmtId="0" fontId="53" fillId="0" borderId="49" xfId="0" applyFont="1" applyBorder="1" applyAlignment="1">
      <alignment horizontal="left"/>
    </xf>
    <xf numFmtId="0" fontId="52" fillId="0" borderId="53" xfId="0" applyFont="1" applyBorder="1"/>
    <xf numFmtId="0" fontId="52" fillId="0" borderId="53" xfId="0" applyFont="1" applyFill="1" applyBorder="1"/>
    <xf numFmtId="0" fontId="20" fillId="0" borderId="72" xfId="0" applyFont="1" applyBorder="1"/>
    <xf numFmtId="0" fontId="20" fillId="0" borderId="13" xfId="0" applyFont="1" applyBorder="1"/>
    <xf numFmtId="1" fontId="38" fillId="0" borderId="41" xfId="0" applyNumberFormat="1" applyFont="1" applyBorder="1" applyAlignment="1">
      <alignment horizontal="center" vertical="justify" wrapText="1"/>
    </xf>
    <xf numFmtId="0" fontId="20" fillId="0" borderId="36" xfId="0" applyFont="1" applyBorder="1"/>
    <xf numFmtId="0" fontId="52" fillId="0" borderId="51" xfId="0" applyFont="1" applyBorder="1"/>
    <xf numFmtId="0" fontId="20" fillId="0" borderId="14" xfId="0" applyFont="1" applyBorder="1"/>
    <xf numFmtId="0" fontId="52" fillId="0" borderId="49" xfId="0" applyFont="1" applyBorder="1"/>
    <xf numFmtId="0" fontId="25" fillId="0" borderId="58" xfId="0" applyFont="1" applyBorder="1" applyAlignment="1">
      <alignment horizontal="left"/>
    </xf>
    <xf numFmtId="0" fontId="35" fillId="0" borderId="58" xfId="0" applyFont="1" applyBorder="1" applyAlignment="1">
      <alignment horizontal="left" vertical="justify" wrapText="1"/>
    </xf>
    <xf numFmtId="0" fontId="35" fillId="0" borderId="49" xfId="0" applyFont="1" applyBorder="1" applyAlignment="1">
      <alignment horizontal="left" vertical="justify" wrapText="1"/>
    </xf>
    <xf numFmtId="0" fontId="34" fillId="0" borderId="0" xfId="0" applyFont="1" applyAlignment="1">
      <alignment horizontal="left" vertical="justify" wrapText="1"/>
    </xf>
    <xf numFmtId="1" fontId="19" fillId="0" borderId="6" xfId="0" applyNumberFormat="1" applyFont="1" applyBorder="1" applyAlignment="1">
      <alignment horizontal="left"/>
    </xf>
    <xf numFmtId="1" fontId="16" fillId="0" borderId="57" xfId="0" applyNumberFormat="1" applyFont="1" applyBorder="1" applyAlignment="1">
      <alignment horizontal="left" vertical="center"/>
    </xf>
    <xf numFmtId="1" fontId="16" fillId="0" borderId="57" xfId="0" applyNumberFormat="1" applyFont="1" applyBorder="1" applyAlignment="1">
      <alignment horizontal="left"/>
    </xf>
    <xf numFmtId="1" fontId="16" fillId="0" borderId="57" xfId="2" applyNumberFormat="1" applyFont="1" applyBorder="1" applyAlignment="1">
      <alignment horizontal="left"/>
    </xf>
    <xf numFmtId="1" fontId="16" fillId="0" borderId="6" xfId="0" applyNumberFormat="1" applyFont="1" applyBorder="1" applyAlignment="1">
      <alignment horizontal="left" wrapText="1"/>
    </xf>
    <xf numFmtId="1" fontId="16" fillId="0" borderId="28" xfId="1" applyNumberFormat="1" applyFont="1" applyBorder="1" applyAlignment="1">
      <alignment horizontal="left"/>
    </xf>
    <xf numFmtId="1" fontId="16" fillId="0" borderId="28" xfId="0" applyNumberFormat="1" applyFont="1" applyBorder="1" applyAlignment="1">
      <alignment horizontal="left"/>
    </xf>
    <xf numFmtId="1" fontId="19" fillId="0" borderId="15" xfId="0" applyNumberFormat="1" applyFont="1" applyBorder="1" applyAlignment="1">
      <alignment horizontal="left"/>
    </xf>
    <xf numFmtId="1" fontId="16" fillId="0" borderId="46" xfId="0" applyNumberFormat="1" applyFont="1" applyBorder="1" applyAlignment="1">
      <alignment horizontal="left" vertical="center"/>
    </xf>
    <xf numFmtId="1" fontId="16" fillId="0" borderId="46" xfId="2" applyNumberFormat="1" applyFont="1" applyBorder="1" applyAlignment="1">
      <alignment horizontal="left"/>
    </xf>
    <xf numFmtId="1" fontId="16" fillId="0" borderId="46" xfId="0" applyNumberFormat="1" applyFont="1" applyBorder="1" applyAlignment="1">
      <alignment horizontal="left" wrapText="1"/>
    </xf>
    <xf numFmtId="1" fontId="16" fillId="0" borderId="15" xfId="1" applyNumberFormat="1" applyFont="1" applyBorder="1" applyAlignment="1">
      <alignment horizontal="left"/>
    </xf>
    <xf numFmtId="1" fontId="17" fillId="0" borderId="16" xfId="0" applyNumberFormat="1" applyFont="1" applyBorder="1" applyAlignment="1">
      <alignment horizontal="left"/>
    </xf>
    <xf numFmtId="1" fontId="17" fillId="0" borderId="46" xfId="0" applyNumberFormat="1" applyFont="1" applyBorder="1" applyAlignment="1">
      <alignment horizontal="left" vertical="center"/>
    </xf>
    <xf numFmtId="1" fontId="17" fillId="0" borderId="46" xfId="0" applyNumberFormat="1" applyFont="1" applyBorder="1" applyAlignment="1">
      <alignment horizontal="left"/>
    </xf>
    <xf numFmtId="1" fontId="1" fillId="0" borderId="46" xfId="0" applyNumberFormat="1" applyFont="1" applyBorder="1" applyAlignment="1">
      <alignment horizontal="left"/>
    </xf>
    <xf numFmtId="1" fontId="19" fillId="0" borderId="46" xfId="0" applyNumberFormat="1" applyFont="1" applyBorder="1" applyAlignment="1">
      <alignment horizontal="left"/>
    </xf>
    <xf numFmtId="1" fontId="24" fillId="0" borderId="6" xfId="0" applyNumberFormat="1" applyFont="1" applyBorder="1" applyAlignment="1">
      <alignment horizontal="left"/>
    </xf>
    <xf numFmtId="1" fontId="24" fillId="0" borderId="15" xfId="0" applyNumberFormat="1" applyFont="1" applyBorder="1" applyAlignment="1">
      <alignment horizontal="left"/>
    </xf>
    <xf numFmtId="1" fontId="19" fillId="0" borderId="42" xfId="0" applyNumberFormat="1" applyFont="1" applyBorder="1" applyAlignment="1">
      <alignment horizontal="left"/>
    </xf>
    <xf numFmtId="1" fontId="16" fillId="0" borderId="68" xfId="0" applyNumberFormat="1" applyFont="1" applyBorder="1" applyAlignment="1">
      <alignment horizontal="left" vertical="center"/>
    </xf>
    <xf numFmtId="1" fontId="16" fillId="0" borderId="68" xfId="2" applyNumberFormat="1" applyFont="1" applyBorder="1" applyAlignment="1">
      <alignment horizontal="left"/>
    </xf>
    <xf numFmtId="1" fontId="16" fillId="0" borderId="27" xfId="1" applyNumberFormat="1" applyFont="1" applyBorder="1" applyAlignment="1">
      <alignment horizontal="left"/>
    </xf>
    <xf numFmtId="1" fontId="16" fillId="0" borderId="14" xfId="0" applyNumberFormat="1" applyFont="1" applyBorder="1" applyAlignment="1">
      <alignment horizontal="left"/>
    </xf>
    <xf numFmtId="1" fontId="17" fillId="0" borderId="66" xfId="0" applyNumberFormat="1" applyFont="1" applyBorder="1" applyAlignment="1">
      <alignment horizontal="left"/>
    </xf>
    <xf numFmtId="1" fontId="16" fillId="0" borderId="14" xfId="1" applyNumberFormat="1" applyFont="1" applyBorder="1" applyAlignment="1">
      <alignment horizontal="left"/>
    </xf>
    <xf numFmtId="2" fontId="35" fillId="0" borderId="49" xfId="0" applyNumberFormat="1" applyFont="1" applyBorder="1" applyAlignment="1">
      <alignment horizontal="left"/>
    </xf>
    <xf numFmtId="2" fontId="35" fillId="0" borderId="22" xfId="0" applyNumberFormat="1" applyFont="1" applyBorder="1" applyAlignment="1">
      <alignment horizontal="left"/>
    </xf>
    <xf numFmtId="2" fontId="35" fillId="0" borderId="58" xfId="0" applyNumberFormat="1" applyFont="1" applyBorder="1" applyAlignment="1">
      <alignment horizontal="left" vertical="center"/>
    </xf>
    <xf numFmtId="2" fontId="35" fillId="0" borderId="58" xfId="0" applyNumberFormat="1" applyFont="1" applyBorder="1" applyAlignment="1">
      <alignment horizontal="left"/>
    </xf>
    <xf numFmtId="2" fontId="35" fillId="0" borderId="58" xfId="2" applyNumberFormat="1" applyFont="1" applyBorder="1" applyAlignment="1">
      <alignment horizontal="left"/>
    </xf>
    <xf numFmtId="2" fontId="35" fillId="0" borderId="58" xfId="0" applyNumberFormat="1" applyFont="1" applyBorder="1" applyAlignment="1">
      <alignment horizontal="left" wrapText="1"/>
    </xf>
    <xf numFmtId="2" fontId="35" fillId="0" borderId="49" xfId="1" applyNumberFormat="1" applyFont="1" applyBorder="1" applyAlignment="1">
      <alignment horizontal="left"/>
    </xf>
    <xf numFmtId="1" fontId="16" fillId="0" borderId="49" xfId="0" applyNumberFormat="1" applyFont="1" applyBorder="1" applyAlignment="1">
      <alignment horizontal="left"/>
    </xf>
    <xf numFmtId="2" fontId="35" fillId="0" borderId="53" xfId="0" applyNumberFormat="1" applyFont="1" applyBorder="1" applyAlignment="1">
      <alignment horizontal="left"/>
    </xf>
    <xf numFmtId="1" fontId="16" fillId="0" borderId="49" xfId="1" applyNumberFormat="1" applyFont="1" applyBorder="1" applyAlignment="1">
      <alignment horizontal="left"/>
    </xf>
    <xf numFmtId="2" fontId="34" fillId="0" borderId="0" xfId="0" applyNumberFormat="1" applyFont="1" applyAlignment="1">
      <alignment horizontal="left"/>
    </xf>
    <xf numFmtId="1" fontId="19" fillId="0" borderId="28" xfId="0" applyNumberFormat="1" applyFont="1" applyBorder="1" applyAlignment="1">
      <alignment horizontal="left"/>
    </xf>
    <xf numFmtId="1" fontId="17" fillId="0" borderId="58" xfId="0" applyNumberFormat="1" applyFont="1" applyBorder="1" applyAlignment="1">
      <alignment vertical="center" wrapText="1"/>
    </xf>
    <xf numFmtId="1" fontId="17" fillId="0" borderId="58" xfId="0" applyNumberFormat="1" applyFont="1" applyBorder="1" applyAlignment="1">
      <alignment vertical="justify" wrapText="1"/>
    </xf>
    <xf numFmtId="0" fontId="17" fillId="0" borderId="58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2" fontId="45" fillId="0" borderId="15" xfId="1" applyNumberFormat="1" applyFont="1" applyBorder="1" applyAlignment="1">
      <alignment horizontal="right"/>
    </xf>
    <xf numFmtId="0" fontId="44" fillId="0" borderId="15" xfId="0" applyFont="1" applyBorder="1"/>
    <xf numFmtId="0" fontId="26" fillId="0" borderId="74" xfId="0" applyFont="1" applyBorder="1"/>
    <xf numFmtId="0" fontId="26" fillId="0" borderId="18" xfId="0" applyFont="1" applyBorder="1"/>
    <xf numFmtId="0" fontId="26" fillId="0" borderId="77" xfId="0" applyFont="1" applyBorder="1"/>
    <xf numFmtId="0" fontId="26" fillId="0" borderId="7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65" xfId="0" applyFont="1" applyBorder="1" applyAlignment="1">
      <alignment horizontal="left"/>
    </xf>
    <xf numFmtId="0" fontId="26" fillId="0" borderId="45" xfId="0" applyFont="1" applyBorder="1" applyAlignment="1">
      <alignment horizontal="left"/>
    </xf>
    <xf numFmtId="0" fontId="26" fillId="0" borderId="64" xfId="0" applyFont="1" applyBorder="1" applyAlignment="1">
      <alignment horizontal="left"/>
    </xf>
    <xf numFmtId="0" fontId="25" fillId="0" borderId="71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25" fillId="0" borderId="46" xfId="0" applyFont="1" applyBorder="1" applyAlignment="1">
      <alignment horizontal="left"/>
    </xf>
    <xf numFmtId="0" fontId="25" fillId="0" borderId="68" xfId="0" applyFont="1" applyBorder="1" applyAlignment="1">
      <alignment horizontal="left"/>
    </xf>
    <xf numFmtId="0" fontId="25" fillId="0" borderId="27" xfId="0" applyFont="1" applyBorder="1" applyAlignment="1">
      <alignment horizontal="left"/>
    </xf>
    <xf numFmtId="0" fontId="25" fillId="0" borderId="3" xfId="0" applyFont="1" applyBorder="1"/>
    <xf numFmtId="1" fontId="23" fillId="0" borderId="19" xfId="0" applyNumberFormat="1" applyFont="1" applyBorder="1" applyAlignment="1">
      <alignment horizontal="left" vertical="center"/>
    </xf>
    <xf numFmtId="1" fontId="23" fillId="0" borderId="27" xfId="0" applyNumberFormat="1" applyFont="1" applyBorder="1" applyAlignment="1">
      <alignment horizontal="left" vertical="center"/>
    </xf>
    <xf numFmtId="2" fontId="21" fillId="0" borderId="27" xfId="1" applyNumberFormat="1" applyFont="1" applyBorder="1" applyAlignment="1">
      <alignment horizontal="right"/>
    </xf>
    <xf numFmtId="2" fontId="45" fillId="0" borderId="49" xfId="1" applyNumberFormat="1" applyFont="1" applyBorder="1" applyAlignment="1">
      <alignment horizontal="right"/>
    </xf>
    <xf numFmtId="2" fontId="21" fillId="0" borderId="66" xfId="2" applyNumberFormat="1" applyFont="1" applyBorder="1" applyAlignment="1">
      <alignment horizontal="right"/>
    </xf>
    <xf numFmtId="2" fontId="45" fillId="0" borderId="53" xfId="2" applyNumberFormat="1" applyFont="1" applyBorder="1" applyAlignment="1">
      <alignment horizontal="right"/>
    </xf>
    <xf numFmtId="2" fontId="21" fillId="0" borderId="27" xfId="0" applyNumberFormat="1" applyFont="1" applyBorder="1" applyAlignment="1">
      <alignment vertical="center"/>
    </xf>
    <xf numFmtId="2" fontId="45" fillId="0" borderId="49" xfId="0" applyNumberFormat="1" applyFont="1" applyBorder="1" applyAlignment="1">
      <alignment vertical="center"/>
    </xf>
    <xf numFmtId="0" fontId="44" fillId="0" borderId="49" xfId="0" applyFont="1" applyBorder="1"/>
    <xf numFmtId="0" fontId="38" fillId="0" borderId="51" xfId="0" applyFont="1" applyBorder="1" applyAlignment="1">
      <alignment horizontal="left" vertical="justify" wrapText="1"/>
    </xf>
    <xf numFmtId="0" fontId="17" fillId="0" borderId="1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2" fontId="21" fillId="0" borderId="18" xfId="0" applyNumberFormat="1" applyFont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23" fillId="0" borderId="18" xfId="0" applyNumberFormat="1" applyFont="1" applyBorder="1" applyAlignment="1">
      <alignment horizontal="right"/>
    </xf>
    <xf numFmtId="2" fontId="45" fillId="0" borderId="46" xfId="0" applyNumberFormat="1" applyFont="1" applyBorder="1" applyAlignment="1">
      <alignment vertical="center"/>
    </xf>
    <xf numFmtId="2" fontId="21" fillId="0" borderId="77" xfId="0" applyNumberFormat="1" applyFont="1" applyBorder="1" applyAlignment="1">
      <alignment horizontal="right"/>
    </xf>
    <xf numFmtId="2" fontId="45" fillId="0" borderId="16" xfId="0" applyNumberFormat="1" applyFont="1" applyBorder="1" applyAlignment="1">
      <alignment vertical="center"/>
    </xf>
    <xf numFmtId="0" fontId="41" fillId="0" borderId="24" xfId="0" applyFont="1" applyBorder="1" applyAlignment="1">
      <alignment horizontal="left"/>
    </xf>
    <xf numFmtId="0" fontId="23" fillId="0" borderId="17" xfId="0" applyFont="1" applyBorder="1" applyAlignment="1">
      <alignment horizontal="center" vertical="center"/>
    </xf>
    <xf numFmtId="0" fontId="16" fillId="0" borderId="35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16" fillId="0" borderId="42" xfId="0" applyFont="1" applyBorder="1" applyAlignment="1">
      <alignment horizontal="left"/>
    </xf>
    <xf numFmtId="0" fontId="17" fillId="0" borderId="18" xfId="0" applyFont="1" applyBorder="1"/>
    <xf numFmtId="0" fontId="17" fillId="0" borderId="46" xfId="0" applyFont="1" applyBorder="1"/>
    <xf numFmtId="0" fontId="16" fillId="0" borderId="20" xfId="0" applyFont="1" applyBorder="1"/>
    <xf numFmtId="0" fontId="16" fillId="0" borderId="36" xfId="0" applyFont="1" applyBorder="1"/>
    <xf numFmtId="0" fontId="16" fillId="0" borderId="19" xfId="0" applyFont="1" applyBorder="1"/>
    <xf numFmtId="0" fontId="16" fillId="0" borderId="65" xfId="0" applyFont="1" applyBorder="1"/>
    <xf numFmtId="0" fontId="35" fillId="0" borderId="49" xfId="0" applyFont="1" applyBorder="1" applyAlignment="1">
      <alignment horizontal="left"/>
    </xf>
    <xf numFmtId="0" fontId="35" fillId="0" borderId="50" xfId="0" applyFont="1" applyBorder="1"/>
    <xf numFmtId="0" fontId="35" fillId="0" borderId="69" xfId="0" applyFont="1" applyBorder="1"/>
    <xf numFmtId="0" fontId="35" fillId="0" borderId="52" xfId="0" applyFont="1" applyBorder="1"/>
    <xf numFmtId="0" fontId="34" fillId="0" borderId="52" xfId="0" applyFont="1" applyBorder="1"/>
    <xf numFmtId="0" fontId="34" fillId="0" borderId="63" xfId="0" applyFont="1" applyBorder="1"/>
    <xf numFmtId="0" fontId="35" fillId="0" borderId="63" xfId="0" applyFont="1" applyBorder="1"/>
    <xf numFmtId="0" fontId="54" fillId="0" borderId="0" xfId="0" applyFont="1" applyFill="1" applyBorder="1" applyAlignment="1">
      <alignment horizontal="left"/>
    </xf>
    <xf numFmtId="0" fontId="23" fillId="0" borderId="67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1" fontId="25" fillId="0" borderId="58" xfId="0" applyNumberFormat="1" applyFont="1" applyFill="1" applyBorder="1" applyAlignment="1">
      <alignment horizontal="center" vertical="justify" wrapText="1"/>
    </xf>
    <xf numFmtId="1" fontId="25" fillId="0" borderId="53" xfId="0" applyNumberFormat="1" applyFont="1" applyFill="1" applyBorder="1" applyAlignment="1">
      <alignment horizontal="center" vertical="justify" wrapText="1"/>
    </xf>
    <xf numFmtId="1" fontId="25" fillId="0" borderId="58" xfId="0" applyNumberFormat="1" applyFont="1" applyFill="1" applyBorder="1" applyAlignment="1">
      <alignment horizontal="center" vertical="center" wrapText="1"/>
    </xf>
    <xf numFmtId="1" fontId="25" fillId="0" borderId="53" xfId="0" applyNumberFormat="1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1" fontId="17" fillId="0" borderId="67" xfId="0" applyNumberFormat="1" applyFont="1" applyBorder="1" applyAlignment="1">
      <alignment horizontal="left" vertical="center" wrapText="1"/>
    </xf>
    <xf numFmtId="1" fontId="17" fillId="0" borderId="48" xfId="0" applyNumberFormat="1" applyFont="1" applyBorder="1" applyAlignment="1">
      <alignment horizontal="left" vertical="center" wrapText="1"/>
    </xf>
    <xf numFmtId="1" fontId="17" fillId="0" borderId="51" xfId="0" applyNumberFormat="1" applyFont="1" applyBorder="1" applyAlignment="1">
      <alignment horizontal="center" vertical="center" wrapText="1"/>
    </xf>
    <xf numFmtId="1" fontId="17" fillId="0" borderId="51" xfId="0" applyNumberFormat="1" applyFont="1" applyBorder="1" applyAlignment="1">
      <alignment horizontal="left" vertical="center" wrapText="1"/>
    </xf>
    <xf numFmtId="1" fontId="17" fillId="0" borderId="0" xfId="0" applyNumberFormat="1" applyFont="1" applyFill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1" fontId="17" fillId="0" borderId="35" xfId="0" applyNumberFormat="1" applyFont="1" applyBorder="1" applyAlignment="1">
      <alignment horizontal="left" vertical="center"/>
    </xf>
    <xf numFmtId="1" fontId="17" fillId="0" borderId="15" xfId="0" applyNumberFormat="1" applyFont="1" applyBorder="1" applyAlignment="1">
      <alignment horizontal="left" vertical="center"/>
    </xf>
    <xf numFmtId="1" fontId="17" fillId="0" borderId="67" xfId="0" applyNumberFormat="1" applyFont="1" applyBorder="1" applyAlignment="1">
      <alignment horizontal="justify" vertical="justify" wrapText="1"/>
    </xf>
    <xf numFmtId="1" fontId="17" fillId="0" borderId="48" xfId="0" applyNumberFormat="1" applyFont="1" applyBorder="1" applyAlignment="1">
      <alignment horizontal="justify" vertical="justify" wrapText="1"/>
    </xf>
    <xf numFmtId="1" fontId="17" fillId="0" borderId="58" xfId="0" applyNumberFormat="1" applyFont="1" applyBorder="1" applyAlignment="1">
      <alignment horizontal="left" vertical="center" wrapText="1"/>
    </xf>
    <xf numFmtId="1" fontId="17" fillId="0" borderId="53" xfId="0" applyNumberFormat="1" applyFont="1" applyBorder="1" applyAlignment="1">
      <alignment horizontal="left" vertical="center" wrapText="1"/>
    </xf>
    <xf numFmtId="1" fontId="17" fillId="0" borderId="67" xfId="0" applyNumberFormat="1" applyFont="1" applyFill="1" applyBorder="1" applyAlignment="1">
      <alignment horizontal="left" vertical="center" wrapText="1"/>
    </xf>
    <xf numFmtId="1" fontId="17" fillId="0" borderId="48" xfId="0" applyNumberFormat="1" applyFont="1" applyFill="1" applyBorder="1" applyAlignment="1">
      <alignment horizontal="left" vertical="center" wrapText="1"/>
    </xf>
    <xf numFmtId="1" fontId="17" fillId="0" borderId="51" xfId="0" applyNumberFormat="1" applyFont="1" applyFill="1" applyBorder="1" applyAlignment="1">
      <alignment horizontal="left" vertical="center" wrapText="1"/>
    </xf>
    <xf numFmtId="1" fontId="17" fillId="0" borderId="51" xfId="0" applyNumberFormat="1" applyFont="1" applyFill="1" applyBorder="1" applyAlignment="1">
      <alignment horizontal="center" vertical="center" wrapText="1"/>
    </xf>
    <xf numFmtId="1" fontId="17" fillId="0" borderId="53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Border="1" applyAlignment="1">
      <alignment horizontal="center" vertical="center" wrapText="1"/>
    </xf>
    <xf numFmtId="1" fontId="17" fillId="0" borderId="53" xfId="0" applyNumberFormat="1" applyFont="1" applyBorder="1" applyAlignment="1">
      <alignment horizontal="center" vertical="center" wrapText="1"/>
    </xf>
    <xf numFmtId="1" fontId="17" fillId="0" borderId="52" xfId="0" applyNumberFormat="1" applyFont="1" applyFill="1" applyBorder="1" applyAlignment="1">
      <alignment horizontal="left" vertical="center" wrapText="1"/>
    </xf>
    <xf numFmtId="1" fontId="17" fillId="0" borderId="63" xfId="0" applyNumberFormat="1" applyFont="1" applyFill="1" applyBorder="1" applyAlignment="1">
      <alignment horizontal="left" vertical="center" wrapText="1"/>
    </xf>
    <xf numFmtId="1" fontId="17" fillId="0" borderId="67" xfId="0" applyNumberFormat="1" applyFont="1" applyBorder="1" applyAlignment="1">
      <alignment horizontal="center" vertical="center" wrapText="1"/>
    </xf>
    <xf numFmtId="1" fontId="17" fillId="0" borderId="48" xfId="0" applyNumberFormat="1" applyFont="1" applyBorder="1" applyAlignment="1">
      <alignment horizontal="center" vertical="center" wrapText="1"/>
    </xf>
    <xf numFmtId="1" fontId="17" fillId="0" borderId="58" xfId="0" applyNumberFormat="1" applyFont="1" applyBorder="1" applyAlignment="1">
      <alignment horizontal="center" vertical="justify" wrapText="1"/>
    </xf>
    <xf numFmtId="1" fontId="17" fillId="0" borderId="53" xfId="0" applyNumberFormat="1" applyFont="1" applyBorder="1" applyAlignment="1">
      <alignment horizontal="center" vertical="justify" wrapText="1"/>
    </xf>
    <xf numFmtId="1" fontId="17" fillId="0" borderId="47" xfId="0" applyNumberFormat="1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left"/>
    </xf>
    <xf numFmtId="0" fontId="56" fillId="0" borderId="41" xfId="0" applyFont="1" applyBorder="1" applyAlignment="1">
      <alignment horizontal="center" vertical="center"/>
    </xf>
    <xf numFmtId="0" fontId="56" fillId="0" borderId="76" xfId="0" applyFont="1" applyBorder="1" applyAlignment="1">
      <alignment horizontal="center" vertical="center"/>
    </xf>
    <xf numFmtId="0" fontId="25" fillId="0" borderId="58" xfId="0" applyFont="1" applyBorder="1" applyAlignment="1">
      <alignment horizontal="justify" vertical="justify" wrapText="1"/>
    </xf>
    <xf numFmtId="0" fontId="25" fillId="0" borderId="53" xfId="0" applyFont="1" applyBorder="1" applyAlignment="1">
      <alignment horizontal="justify" vertical="justify" wrapText="1"/>
    </xf>
    <xf numFmtId="0" fontId="25" fillId="0" borderId="37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1" fontId="25" fillId="0" borderId="47" xfId="0" applyNumberFormat="1" applyFont="1" applyFill="1" applyBorder="1" applyAlignment="1">
      <alignment horizontal="center" vertical="center" wrapText="1"/>
    </xf>
    <xf numFmtId="1" fontId="25" fillId="0" borderId="48" xfId="0" applyNumberFormat="1" applyFont="1" applyFill="1" applyBorder="1" applyAlignment="1">
      <alignment horizontal="center" vertical="center" wrapText="1"/>
    </xf>
    <xf numFmtId="1" fontId="25" fillId="0" borderId="47" xfId="0" applyNumberFormat="1" applyFont="1" applyBorder="1" applyAlignment="1">
      <alignment horizontal="center" vertical="center" wrapText="1"/>
    </xf>
    <xf numFmtId="1" fontId="25" fillId="0" borderId="48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1" fontId="55" fillId="0" borderId="0" xfId="0" applyNumberFormat="1" applyFont="1" applyBorder="1" applyAlignment="1">
      <alignment horizontal="left"/>
    </xf>
    <xf numFmtId="1" fontId="25" fillId="0" borderId="67" xfId="0" applyNumberFormat="1" applyFont="1" applyBorder="1" applyAlignment="1">
      <alignment horizontal="center" vertical="center"/>
    </xf>
    <xf numFmtId="1" fontId="25" fillId="0" borderId="22" xfId="0" applyNumberFormat="1" applyFont="1" applyBorder="1" applyAlignment="1">
      <alignment horizontal="center" vertical="center"/>
    </xf>
    <xf numFmtId="1" fontId="25" fillId="0" borderId="67" xfId="0" applyNumberFormat="1" applyFont="1" applyBorder="1" applyAlignment="1">
      <alignment horizontal="justify" vertical="justify" wrapText="1"/>
    </xf>
    <xf numFmtId="1" fontId="25" fillId="0" borderId="48" xfId="0" applyNumberFormat="1" applyFont="1" applyBorder="1" applyAlignment="1">
      <alignment horizontal="justify" vertical="justify" wrapText="1"/>
    </xf>
    <xf numFmtId="1" fontId="25" fillId="0" borderId="51" xfId="0" applyNumberFormat="1" applyFont="1" applyBorder="1" applyAlignment="1">
      <alignment horizontal="center" vertical="center" wrapText="1"/>
    </xf>
    <xf numFmtId="1" fontId="25" fillId="0" borderId="53" xfId="0" applyNumberFormat="1" applyFont="1" applyBorder="1" applyAlignment="1">
      <alignment horizontal="center" vertical="center" wrapText="1"/>
    </xf>
    <xf numFmtId="1" fontId="25" fillId="0" borderId="67" xfId="0" applyNumberFormat="1" applyFont="1" applyBorder="1" applyAlignment="1">
      <alignment horizontal="center" vertical="center" wrapText="1"/>
    </xf>
    <xf numFmtId="1" fontId="54" fillId="0" borderId="0" xfId="0" applyNumberFormat="1" applyFont="1" applyAlignment="1">
      <alignment horizontal="left"/>
    </xf>
    <xf numFmtId="1" fontId="55" fillId="0" borderId="0" xfId="0" applyNumberFormat="1" applyFont="1" applyAlignment="1">
      <alignment horizontal="left"/>
    </xf>
    <xf numFmtId="1" fontId="25" fillId="0" borderId="36" xfId="0" applyNumberFormat="1" applyFont="1" applyBorder="1" applyAlignment="1">
      <alignment horizontal="left" vertical="center"/>
    </xf>
    <xf numFmtId="1" fontId="25" fillId="0" borderId="70" xfId="0" applyNumberFormat="1" applyFont="1" applyBorder="1" applyAlignment="1">
      <alignment horizontal="left" vertical="center"/>
    </xf>
    <xf numFmtId="1" fontId="25" fillId="0" borderId="58" xfId="0" applyNumberFormat="1" applyFont="1" applyBorder="1" applyAlignment="1">
      <alignment horizontal="justify" vertical="justify" wrapText="1"/>
    </xf>
    <xf numFmtId="1" fontId="25" fillId="0" borderId="51" xfId="0" applyNumberFormat="1" applyFont="1" applyBorder="1" applyAlignment="1">
      <alignment horizontal="justify" vertical="justify" wrapText="1"/>
    </xf>
    <xf numFmtId="1" fontId="25" fillId="0" borderId="58" xfId="0" applyNumberFormat="1" applyFont="1" applyBorder="1" applyAlignment="1">
      <alignment horizontal="left" vertical="center" wrapText="1"/>
    </xf>
    <xf numFmtId="1" fontId="25" fillId="0" borderId="51" xfId="0" applyNumberFormat="1" applyFont="1" applyBorder="1" applyAlignment="1">
      <alignment horizontal="left" vertical="center" wrapText="1"/>
    </xf>
    <xf numFmtId="1" fontId="25" fillId="0" borderId="53" xfId="0" applyNumberFormat="1" applyFont="1" applyBorder="1" applyAlignment="1">
      <alignment horizontal="left" vertical="center" wrapText="1"/>
    </xf>
    <xf numFmtId="1" fontId="25" fillId="0" borderId="47" xfId="0" applyNumberFormat="1" applyFont="1" applyBorder="1" applyAlignment="1">
      <alignment horizontal="left" vertical="center" wrapText="1"/>
    </xf>
    <xf numFmtId="1" fontId="25" fillId="0" borderId="52" xfId="0" applyNumberFormat="1" applyFont="1" applyBorder="1" applyAlignment="1">
      <alignment horizontal="left" vertical="center" wrapText="1"/>
    </xf>
    <xf numFmtId="1" fontId="25" fillId="0" borderId="69" xfId="0" applyNumberFormat="1" applyFont="1" applyBorder="1" applyAlignment="1">
      <alignment horizontal="left" vertical="center" wrapText="1"/>
    </xf>
    <xf numFmtId="1" fontId="25" fillId="0" borderId="58" xfId="0" applyNumberFormat="1" applyFont="1" applyBorder="1" applyAlignment="1">
      <alignment horizontal="center" vertical="center" wrapText="1"/>
    </xf>
    <xf numFmtId="1" fontId="25" fillId="0" borderId="67" xfId="0" applyNumberFormat="1" applyFont="1" applyBorder="1" applyAlignment="1">
      <alignment horizontal="left" vertical="center" wrapText="1"/>
    </xf>
    <xf numFmtId="1" fontId="25" fillId="0" borderId="48" xfId="0" applyNumberFormat="1" applyFont="1" applyBorder="1" applyAlignment="1">
      <alignment horizontal="left" vertical="center" wrapText="1"/>
    </xf>
    <xf numFmtId="1" fontId="25" fillId="0" borderId="37" xfId="0" applyNumberFormat="1" applyFont="1" applyFill="1" applyBorder="1" applyAlignment="1">
      <alignment horizontal="left" vertical="center" wrapText="1"/>
    </xf>
    <xf numFmtId="1" fontId="25" fillId="0" borderId="39" xfId="0" applyNumberFormat="1" applyFont="1" applyFill="1" applyBorder="1" applyAlignment="1">
      <alignment horizontal="left" vertical="center" wrapText="1"/>
    </xf>
    <xf numFmtId="1" fontId="25" fillId="0" borderId="67" xfId="0" applyNumberFormat="1" applyFont="1" applyFill="1" applyBorder="1" applyAlignment="1">
      <alignment horizontal="left" vertical="center" wrapText="1"/>
    </xf>
    <xf numFmtId="1" fontId="25" fillId="0" borderId="47" xfId="0" applyNumberFormat="1" applyFont="1" applyFill="1" applyBorder="1" applyAlignment="1">
      <alignment horizontal="left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3" fillId="0" borderId="35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5" fillId="0" borderId="67" xfId="0" applyFont="1" applyBorder="1" applyAlignment="1">
      <alignment horizontal="justify" vertical="justify" wrapText="1"/>
    </xf>
    <xf numFmtId="0" fontId="25" fillId="0" borderId="48" xfId="0" applyFont="1" applyBorder="1" applyAlignment="1">
      <alignment horizontal="justify" vertical="justify" wrapText="1"/>
    </xf>
    <xf numFmtId="0" fontId="25" fillId="0" borderId="67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46" fillId="0" borderId="67" xfId="0" applyFont="1" applyBorder="1" applyAlignment="1">
      <alignment horizontal="center"/>
    </xf>
    <xf numFmtId="0" fontId="46" fillId="0" borderId="22" xfId="0" applyFont="1" applyBorder="1" applyAlignment="1">
      <alignment horizontal="center"/>
    </xf>
    <xf numFmtId="0" fontId="49" fillId="0" borderId="0" xfId="0" applyFont="1" applyAlignment="1">
      <alignment horizontal="left"/>
    </xf>
    <xf numFmtId="1" fontId="25" fillId="0" borderId="51" xfId="0" applyNumberFormat="1" applyFont="1" applyFill="1" applyBorder="1" applyAlignment="1">
      <alignment horizontal="center" vertical="justify" wrapText="1"/>
    </xf>
    <xf numFmtId="1" fontId="25" fillId="0" borderId="51" xfId="0" applyNumberFormat="1" applyFont="1" applyFill="1" applyBorder="1" applyAlignment="1">
      <alignment horizontal="center" vertical="center" wrapText="1"/>
    </xf>
    <xf numFmtId="1" fontId="23" fillId="0" borderId="58" xfId="0" applyNumberFormat="1" applyFont="1" applyFill="1" applyBorder="1" applyAlignment="1">
      <alignment horizontal="center" vertical="center" wrapText="1"/>
    </xf>
    <xf numFmtId="1" fontId="23" fillId="0" borderId="53" xfId="0" applyNumberFormat="1" applyFont="1" applyFill="1" applyBorder="1" applyAlignment="1">
      <alignment horizontal="center" vertical="center" wrapText="1"/>
    </xf>
    <xf numFmtId="0" fontId="35" fillId="0" borderId="41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1" fontId="25" fillId="0" borderId="58" xfId="0" applyNumberFormat="1" applyFont="1" applyBorder="1" applyAlignment="1">
      <alignment horizontal="center" vertical="justify" wrapText="1"/>
    </xf>
    <xf numFmtId="1" fontId="25" fillId="0" borderId="53" xfId="0" applyNumberFormat="1" applyFont="1" applyBorder="1" applyAlignment="1">
      <alignment horizontal="center" vertical="justify" wrapText="1"/>
    </xf>
    <xf numFmtId="0" fontId="17" fillId="0" borderId="0" xfId="0" applyFont="1" applyAlignment="1">
      <alignment horizontal="left"/>
    </xf>
    <xf numFmtId="0" fontId="35" fillId="0" borderId="76" xfId="0" applyFont="1" applyBorder="1" applyAlignment="1">
      <alignment horizontal="center"/>
    </xf>
    <xf numFmtId="0" fontId="1" fillId="0" borderId="71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17" fillId="0" borderId="41" xfId="0" applyFont="1" applyBorder="1" applyAlignment="1">
      <alignment horizontal="left" vertical="center"/>
    </xf>
    <xf numFmtId="0" fontId="17" fillId="0" borderId="76" xfId="0" applyFont="1" applyBorder="1" applyAlignment="1">
      <alignment horizontal="left" vertical="center"/>
    </xf>
    <xf numFmtId="0" fontId="1" fillId="0" borderId="71" xfId="0" applyFont="1" applyBorder="1" applyAlignment="1">
      <alignment horizontal="justify" vertical="justify" wrapText="1"/>
    </xf>
    <xf numFmtId="0" fontId="1" fillId="0" borderId="55" xfId="0" applyFont="1" applyBorder="1" applyAlignment="1">
      <alignment horizontal="justify" vertical="justify" wrapText="1"/>
    </xf>
    <xf numFmtId="0" fontId="1" fillId="0" borderId="5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left" vertical="center" wrapText="1"/>
    </xf>
    <xf numFmtId="0" fontId="17" fillId="0" borderId="72" xfId="0" applyFont="1" applyFill="1" applyBorder="1" applyAlignment="1">
      <alignment horizontal="left" vertical="center" wrapText="1"/>
    </xf>
    <xf numFmtId="0" fontId="17" fillId="0" borderId="32" xfId="0" applyFont="1" applyFill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56" xfId="0" applyFont="1" applyBorder="1" applyAlignment="1">
      <alignment horizontal="left" vertical="center" wrapText="1"/>
    </xf>
    <xf numFmtId="0" fontId="17" fillId="0" borderId="72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horizontal="left" vertical="center" wrapText="1"/>
    </xf>
    <xf numFmtId="1" fontId="17" fillId="0" borderId="56" xfId="0" applyNumberFormat="1" applyFont="1" applyBorder="1" applyAlignment="1">
      <alignment horizontal="left" vertical="center" wrapText="1"/>
    </xf>
    <xf numFmtId="1" fontId="17" fillId="0" borderId="32" xfId="0" applyNumberFormat="1" applyFont="1" applyBorder="1" applyAlignment="1">
      <alignment horizontal="left" vertical="center" wrapText="1"/>
    </xf>
    <xf numFmtId="0" fontId="17" fillId="0" borderId="71" xfId="0" applyFont="1" applyBorder="1" applyAlignment="1">
      <alignment horizontal="justify" vertical="justify" wrapText="1"/>
    </xf>
    <xf numFmtId="0" fontId="17" fillId="0" borderId="54" xfId="0" applyFont="1" applyBorder="1" applyAlignment="1">
      <alignment horizontal="justify" vertical="justify" wrapText="1"/>
    </xf>
    <xf numFmtId="0" fontId="17" fillId="0" borderId="55" xfId="0" applyFont="1" applyBorder="1" applyAlignment="1">
      <alignment horizontal="left" vertical="center" wrapText="1"/>
    </xf>
    <xf numFmtId="0" fontId="17" fillId="0" borderId="71" xfId="0" applyFont="1" applyBorder="1" applyAlignment="1">
      <alignment horizontal="left" vertical="center" wrapText="1"/>
    </xf>
    <xf numFmtId="1" fontId="17" fillId="0" borderId="31" xfId="0" applyNumberFormat="1" applyFont="1" applyBorder="1" applyAlignment="1">
      <alignment horizontal="left" vertical="center" wrapText="1"/>
    </xf>
    <xf numFmtId="0" fontId="1" fillId="0" borderId="67" xfId="0" applyFont="1" applyFill="1" applyBorder="1" applyAlignment="1">
      <alignment horizontal="justify" vertical="justify" wrapText="1"/>
    </xf>
    <xf numFmtId="0" fontId="1" fillId="0" borderId="47" xfId="0" applyFont="1" applyFill="1" applyBorder="1" applyAlignment="1">
      <alignment horizontal="justify" vertical="justify" wrapText="1"/>
    </xf>
    <xf numFmtId="0" fontId="1" fillId="0" borderId="48" xfId="0" applyFont="1" applyFill="1" applyBorder="1" applyAlignment="1">
      <alignment horizontal="justify" vertical="justify" wrapText="1"/>
    </xf>
    <xf numFmtId="0" fontId="1" fillId="0" borderId="67" xfId="0" applyFont="1" applyBorder="1" applyAlignment="1">
      <alignment horizontal="justify" vertical="justify" wrapText="1"/>
    </xf>
    <xf numFmtId="0" fontId="1" fillId="0" borderId="47" xfId="0" applyFont="1" applyBorder="1" applyAlignment="1">
      <alignment horizontal="justify" vertical="justify" wrapText="1"/>
    </xf>
    <xf numFmtId="0" fontId="1" fillId="0" borderId="48" xfId="0" applyFont="1" applyBorder="1" applyAlignment="1">
      <alignment horizontal="justify" vertical="justify" wrapText="1"/>
    </xf>
    <xf numFmtId="0" fontId="6" fillId="0" borderId="0" xfId="0" applyFont="1" applyBorder="1" applyAlignment="1">
      <alignment horizontal="left"/>
    </xf>
    <xf numFmtId="0" fontId="23" fillId="0" borderId="41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7" fillId="0" borderId="47" xfId="0" applyFont="1" applyFill="1" applyBorder="1" applyAlignment="1">
      <alignment horizontal="left" vertical="center" wrapText="1"/>
    </xf>
    <xf numFmtId="0" fontId="17" fillId="0" borderId="67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67" xfId="0" applyFont="1" applyBorder="1" applyAlignment="1">
      <alignment horizontal="left" vertical="center" wrapText="1"/>
    </xf>
    <xf numFmtId="0" fontId="17" fillId="0" borderId="48" xfId="0" applyFont="1" applyBorder="1" applyAlignment="1">
      <alignment horizontal="left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left" vertical="center" wrapText="1"/>
    </xf>
    <xf numFmtId="1" fontId="17" fillId="0" borderId="47" xfId="0" applyNumberFormat="1" applyFont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67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67" xfId="0" applyFont="1" applyBorder="1" applyAlignment="1">
      <alignment horizontal="justify" vertical="justify" wrapText="1"/>
    </xf>
    <xf numFmtId="0" fontId="17" fillId="0" borderId="47" xfId="0" applyFont="1" applyBorder="1" applyAlignment="1">
      <alignment horizontal="justify" vertical="justify" wrapText="1"/>
    </xf>
  </cellXfs>
  <cellStyles count="3">
    <cellStyle name="Comma" xfId="1" builtinId="3"/>
    <cellStyle name="Comma 18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X62"/>
  <sheetViews>
    <sheetView tabSelected="1" workbookViewId="0">
      <pane xSplit="1" topLeftCell="B1" activePane="topRight" state="frozen"/>
      <selection pane="topRight" sqref="A1:AX1"/>
    </sheetView>
  </sheetViews>
  <sheetFormatPr defaultRowHeight="16.5" x14ac:dyDescent="0.3"/>
  <cols>
    <col min="1" max="1" width="65" style="70" bestFit="1" customWidth="1"/>
    <col min="2" max="2" width="3.85546875" style="70" customWidth="1"/>
    <col min="3" max="12" width="14.5703125" style="70" bestFit="1" customWidth="1"/>
    <col min="13" max="14" width="14.5703125" style="301" bestFit="1" customWidth="1"/>
    <col min="15" max="50" width="14.5703125" style="70" bestFit="1" customWidth="1"/>
    <col min="51" max="16384" width="9.140625" style="70"/>
  </cols>
  <sheetData>
    <row r="1" spans="1:50" ht="18.75" thickBot="1" x14ac:dyDescent="0.4">
      <c r="A1" s="1055" t="s">
        <v>393</v>
      </c>
      <c r="B1" s="1055"/>
      <c r="C1" s="1055"/>
      <c r="D1" s="1055"/>
      <c r="E1" s="1055"/>
      <c r="F1" s="1055"/>
      <c r="G1" s="1055"/>
      <c r="H1" s="1055"/>
      <c r="I1" s="1055"/>
      <c r="J1" s="1055"/>
      <c r="K1" s="1055"/>
      <c r="L1" s="1055"/>
      <c r="M1" s="1055"/>
      <c r="N1" s="1055"/>
      <c r="O1" s="1055"/>
      <c r="P1" s="1055"/>
      <c r="Q1" s="1055"/>
      <c r="R1" s="1055"/>
      <c r="S1" s="1055"/>
      <c r="T1" s="1055"/>
      <c r="U1" s="1055"/>
      <c r="V1" s="1055"/>
      <c r="W1" s="1055"/>
      <c r="X1" s="1055"/>
      <c r="Y1" s="1055"/>
      <c r="Z1" s="1055"/>
      <c r="AA1" s="1055"/>
      <c r="AB1" s="1055"/>
      <c r="AC1" s="1055"/>
      <c r="AD1" s="1055"/>
      <c r="AE1" s="1055"/>
      <c r="AF1" s="1055"/>
      <c r="AG1" s="1055"/>
      <c r="AH1" s="1055"/>
      <c r="AI1" s="1055"/>
      <c r="AJ1" s="1055"/>
      <c r="AK1" s="1055"/>
      <c r="AL1" s="1055"/>
      <c r="AM1" s="1055"/>
      <c r="AN1" s="1055"/>
      <c r="AO1" s="1055"/>
      <c r="AP1" s="1055"/>
      <c r="AQ1" s="1055"/>
      <c r="AR1" s="1055"/>
      <c r="AS1" s="1055"/>
      <c r="AT1" s="1055"/>
      <c r="AU1" s="1055"/>
      <c r="AV1" s="1055"/>
      <c r="AW1" s="1055"/>
      <c r="AX1" s="1055"/>
    </row>
    <row r="2" spans="1:50" ht="45" customHeight="1" thickBot="1" x14ac:dyDescent="0.35">
      <c r="A2" s="1056" t="s">
        <v>0</v>
      </c>
      <c r="B2" s="448"/>
      <c r="C2" s="1058" t="s">
        <v>114</v>
      </c>
      <c r="D2" s="1059"/>
      <c r="E2" s="1060" t="s">
        <v>115</v>
      </c>
      <c r="F2" s="1061"/>
      <c r="G2" s="1060" t="s">
        <v>116</v>
      </c>
      <c r="H2" s="1061"/>
      <c r="I2" s="1060" t="s">
        <v>117</v>
      </c>
      <c r="J2" s="1061"/>
      <c r="K2" s="1060" t="s">
        <v>118</v>
      </c>
      <c r="L2" s="1061"/>
      <c r="M2" s="1060" t="s">
        <v>119</v>
      </c>
      <c r="N2" s="1061"/>
      <c r="O2" s="1060" t="s">
        <v>220</v>
      </c>
      <c r="P2" s="1061"/>
      <c r="Q2" s="1060" t="s">
        <v>120</v>
      </c>
      <c r="R2" s="1061"/>
      <c r="S2" s="1060" t="s">
        <v>121</v>
      </c>
      <c r="T2" s="1061"/>
      <c r="U2" s="1060" t="s">
        <v>122</v>
      </c>
      <c r="V2" s="1061"/>
      <c r="W2" s="1060" t="s">
        <v>123</v>
      </c>
      <c r="X2" s="1061"/>
      <c r="Y2" s="1060" t="s">
        <v>124</v>
      </c>
      <c r="Z2" s="1061"/>
      <c r="AA2" s="1062" t="s">
        <v>226</v>
      </c>
      <c r="AB2" s="1063"/>
      <c r="AC2" s="1060" t="s">
        <v>125</v>
      </c>
      <c r="AD2" s="1061"/>
      <c r="AE2" s="1060" t="s">
        <v>126</v>
      </c>
      <c r="AF2" s="1061"/>
      <c r="AG2" s="1060" t="s">
        <v>127</v>
      </c>
      <c r="AH2" s="1061"/>
      <c r="AI2" s="1060" t="s">
        <v>128</v>
      </c>
      <c r="AJ2" s="1061"/>
      <c r="AK2" s="1060" t="s">
        <v>129</v>
      </c>
      <c r="AL2" s="1061"/>
      <c r="AM2" s="1060" t="s">
        <v>130</v>
      </c>
      <c r="AN2" s="1061"/>
      <c r="AO2" s="1060" t="s">
        <v>131</v>
      </c>
      <c r="AP2" s="1061"/>
      <c r="AQ2" s="1060" t="s">
        <v>132</v>
      </c>
      <c r="AR2" s="1061"/>
      <c r="AS2" s="1060" t="s">
        <v>133</v>
      </c>
      <c r="AT2" s="1061"/>
      <c r="AU2" s="1060" t="s">
        <v>134</v>
      </c>
      <c r="AV2" s="1061"/>
      <c r="AW2" s="1060" t="s">
        <v>135</v>
      </c>
      <c r="AX2" s="1061"/>
    </row>
    <row r="3" spans="1:50" s="347" customFormat="1" ht="15" customHeight="1" thickBot="1" x14ac:dyDescent="0.35">
      <c r="A3" s="1057"/>
      <c r="B3" s="457"/>
      <c r="C3" s="392" t="s">
        <v>329</v>
      </c>
      <c r="D3" s="392" t="s">
        <v>223</v>
      </c>
      <c r="E3" s="392" t="s">
        <v>329</v>
      </c>
      <c r="F3" s="392" t="s">
        <v>223</v>
      </c>
      <c r="G3" s="392" t="s">
        <v>329</v>
      </c>
      <c r="H3" s="392" t="s">
        <v>223</v>
      </c>
      <c r="I3" s="392" t="s">
        <v>329</v>
      </c>
      <c r="J3" s="392" t="s">
        <v>223</v>
      </c>
      <c r="K3" s="392" t="s">
        <v>329</v>
      </c>
      <c r="L3" s="392" t="s">
        <v>223</v>
      </c>
      <c r="M3" s="392" t="s">
        <v>329</v>
      </c>
      <c r="N3" s="392" t="s">
        <v>223</v>
      </c>
      <c r="O3" s="392" t="s">
        <v>329</v>
      </c>
      <c r="P3" s="392" t="s">
        <v>223</v>
      </c>
      <c r="Q3" s="392" t="s">
        <v>329</v>
      </c>
      <c r="R3" s="392" t="s">
        <v>223</v>
      </c>
      <c r="S3" s="392" t="s">
        <v>329</v>
      </c>
      <c r="T3" s="392" t="s">
        <v>223</v>
      </c>
      <c r="U3" s="392" t="s">
        <v>329</v>
      </c>
      <c r="V3" s="392" t="s">
        <v>223</v>
      </c>
      <c r="W3" s="392" t="s">
        <v>329</v>
      </c>
      <c r="X3" s="392" t="s">
        <v>223</v>
      </c>
      <c r="Y3" s="392" t="s">
        <v>329</v>
      </c>
      <c r="Z3" s="392" t="s">
        <v>223</v>
      </c>
      <c r="AA3" s="392" t="s">
        <v>329</v>
      </c>
      <c r="AB3" s="392" t="s">
        <v>223</v>
      </c>
      <c r="AC3" s="392" t="s">
        <v>329</v>
      </c>
      <c r="AD3" s="392" t="s">
        <v>223</v>
      </c>
      <c r="AE3" s="392" t="s">
        <v>329</v>
      </c>
      <c r="AF3" s="392" t="s">
        <v>223</v>
      </c>
      <c r="AG3" s="392" t="s">
        <v>329</v>
      </c>
      <c r="AH3" s="392" t="s">
        <v>223</v>
      </c>
      <c r="AI3" s="392" t="s">
        <v>329</v>
      </c>
      <c r="AJ3" s="392" t="s">
        <v>223</v>
      </c>
      <c r="AK3" s="392" t="s">
        <v>329</v>
      </c>
      <c r="AL3" s="392" t="s">
        <v>223</v>
      </c>
      <c r="AM3" s="392" t="s">
        <v>329</v>
      </c>
      <c r="AN3" s="392" t="s">
        <v>223</v>
      </c>
      <c r="AO3" s="392" t="s">
        <v>329</v>
      </c>
      <c r="AP3" s="392" t="s">
        <v>223</v>
      </c>
      <c r="AQ3" s="392" t="s">
        <v>329</v>
      </c>
      <c r="AR3" s="392" t="s">
        <v>223</v>
      </c>
      <c r="AS3" s="392" t="s">
        <v>329</v>
      </c>
      <c r="AT3" s="392" t="s">
        <v>223</v>
      </c>
      <c r="AU3" s="392" t="s">
        <v>329</v>
      </c>
      <c r="AV3" s="392" t="s">
        <v>223</v>
      </c>
      <c r="AW3" s="392" t="s">
        <v>329</v>
      </c>
      <c r="AX3" s="392" t="s">
        <v>223</v>
      </c>
    </row>
    <row r="4" spans="1:50" ht="15" customHeight="1" thickBot="1" x14ac:dyDescent="0.35">
      <c r="A4" s="318" t="s">
        <v>21</v>
      </c>
      <c r="B4" s="320"/>
      <c r="C4" s="739"/>
      <c r="D4" s="713"/>
      <c r="E4" s="322"/>
      <c r="F4" s="319"/>
      <c r="G4" s="322"/>
      <c r="H4" s="319"/>
      <c r="I4" s="319"/>
      <c r="J4" s="319"/>
      <c r="K4" s="319"/>
      <c r="L4" s="319"/>
      <c r="M4" s="325"/>
      <c r="N4" s="325"/>
      <c r="O4" s="319"/>
      <c r="P4" s="319"/>
      <c r="Q4" s="1037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22"/>
      <c r="AX4" s="319"/>
    </row>
    <row r="5" spans="1:50" ht="25.5" customHeight="1" x14ac:dyDescent="0.3">
      <c r="A5" s="262" t="s">
        <v>22</v>
      </c>
      <c r="B5" s="317" t="s">
        <v>139</v>
      </c>
      <c r="C5" s="309">
        <v>806615</v>
      </c>
      <c r="D5" s="309">
        <v>658212.75</v>
      </c>
      <c r="E5" s="309">
        <v>28427</v>
      </c>
      <c r="F5" s="309">
        <v>25396.57</v>
      </c>
      <c r="G5" s="323">
        <v>79320</v>
      </c>
      <c r="H5" s="315">
        <v>71460</v>
      </c>
      <c r="I5" s="313">
        <v>1040831</v>
      </c>
      <c r="J5" s="313">
        <v>752352.34</v>
      </c>
      <c r="K5" s="315">
        <v>169324</v>
      </c>
      <c r="L5" s="315">
        <v>148916.16</v>
      </c>
      <c r="M5" s="326">
        <v>390024</v>
      </c>
      <c r="N5" s="326">
        <v>343483.8</v>
      </c>
      <c r="O5" s="315">
        <v>77180</v>
      </c>
      <c r="P5" s="1030">
        <v>70125.759999999995</v>
      </c>
      <c r="Q5" s="1038">
        <v>89857</v>
      </c>
      <c r="R5" s="328">
        <v>74501.33</v>
      </c>
      <c r="S5" s="315">
        <v>244085</v>
      </c>
      <c r="T5" s="315">
        <v>208007.99</v>
      </c>
      <c r="U5" s="315">
        <v>84409</v>
      </c>
      <c r="V5" s="315">
        <v>73753.350000000006</v>
      </c>
      <c r="W5" s="315">
        <v>3154157</v>
      </c>
      <c r="X5" s="315">
        <v>2567330.56</v>
      </c>
      <c r="Y5" s="315">
        <v>2574736</v>
      </c>
      <c r="Z5" s="315">
        <v>2363221.7800000003</v>
      </c>
      <c r="AA5" s="332">
        <v>144299</v>
      </c>
      <c r="AB5" s="332">
        <v>124141.22</v>
      </c>
      <c r="AC5" s="315">
        <v>353019</v>
      </c>
      <c r="AD5" s="315">
        <v>269857.74</v>
      </c>
      <c r="AE5" s="315">
        <v>768604</v>
      </c>
      <c r="AF5" s="315">
        <v>622984.57000000007</v>
      </c>
      <c r="AG5" s="315">
        <v>1441460</v>
      </c>
      <c r="AH5" s="315">
        <v>1191197.9099999999</v>
      </c>
      <c r="AI5" s="315">
        <v>473101</v>
      </c>
      <c r="AJ5" s="315">
        <v>377150.26</v>
      </c>
      <c r="AK5" s="315">
        <v>339836</v>
      </c>
      <c r="AL5" s="315">
        <v>308671.90000000002</v>
      </c>
      <c r="AM5" s="335"/>
      <c r="AN5" s="335"/>
      <c r="AO5" s="714">
        <v>4125114</v>
      </c>
      <c r="AP5" s="714">
        <v>3460744.79</v>
      </c>
      <c r="AQ5" s="315">
        <v>144278</v>
      </c>
      <c r="AR5" s="315">
        <v>125610.11</v>
      </c>
      <c r="AS5" s="333">
        <v>284564</v>
      </c>
      <c r="AT5" s="333">
        <v>192168.02</v>
      </c>
      <c r="AU5" s="315">
        <v>890743</v>
      </c>
      <c r="AV5" s="315">
        <v>703538.6</v>
      </c>
      <c r="AW5" s="522">
        <v>28405465</v>
      </c>
      <c r="AX5" s="522">
        <v>28150729.310000002</v>
      </c>
    </row>
    <row r="6" spans="1:50" x14ac:dyDescent="0.3">
      <c r="A6" s="262" t="s">
        <v>140</v>
      </c>
      <c r="B6" s="321"/>
      <c r="C6" s="309">
        <v>-34463</v>
      </c>
      <c r="D6" s="309">
        <v>-21466.260000000002</v>
      </c>
      <c r="E6" s="309">
        <v>-5834</v>
      </c>
      <c r="F6" s="309">
        <v>-5234.04</v>
      </c>
      <c r="G6" s="323">
        <v>-5523</v>
      </c>
      <c r="H6" s="315">
        <v>-4991</v>
      </c>
      <c r="I6" s="313">
        <v>-11344</v>
      </c>
      <c r="J6" s="313">
        <v>-7080.04</v>
      </c>
      <c r="K6" s="315">
        <v>-2634</v>
      </c>
      <c r="L6" s="315">
        <v>-2335.5500000000002</v>
      </c>
      <c r="M6" s="326">
        <v>-3244</v>
      </c>
      <c r="N6" s="326">
        <v>-7810.52</v>
      </c>
      <c r="O6" s="315">
        <v>-3568</v>
      </c>
      <c r="P6" s="1030">
        <v>-4838.17</v>
      </c>
      <c r="Q6" s="1039">
        <v>-2512</v>
      </c>
      <c r="R6" s="329">
        <v>-2708.2200000000003</v>
      </c>
      <c r="S6" s="315">
        <v>-12870</v>
      </c>
      <c r="T6" s="315">
        <v>-5793.04</v>
      </c>
      <c r="U6" s="315">
        <v>-3639</v>
      </c>
      <c r="V6" s="315">
        <v>-3237.01</v>
      </c>
      <c r="W6" s="315">
        <v>-43496</v>
      </c>
      <c r="X6" s="315">
        <v>-41901.43</v>
      </c>
      <c r="Y6" s="315">
        <v>-78501</v>
      </c>
      <c r="Z6" s="315">
        <v>-53812.54</v>
      </c>
      <c r="AA6" s="332">
        <v>-1277</v>
      </c>
      <c r="AB6" s="332">
        <v>-1127.92</v>
      </c>
      <c r="AC6" s="315">
        <v>-15369</v>
      </c>
      <c r="AD6" s="315">
        <v>-11237.37</v>
      </c>
      <c r="AE6" s="315">
        <v>-15769</v>
      </c>
      <c r="AF6" s="315">
        <v>-13197.99</v>
      </c>
      <c r="AG6" s="315">
        <v>-29725</v>
      </c>
      <c r="AH6" s="315">
        <v>-21013.63</v>
      </c>
      <c r="AI6" s="315">
        <v>-26038</v>
      </c>
      <c r="AJ6" s="315">
        <v>-13856.08</v>
      </c>
      <c r="AK6" s="315">
        <v>-2765</v>
      </c>
      <c r="AL6" s="315">
        <v>-1741.3700000000001</v>
      </c>
      <c r="AM6" s="335"/>
      <c r="AN6" s="335"/>
      <c r="AO6" s="714">
        <v>-25262</v>
      </c>
      <c r="AP6" s="714">
        <v>-39490.980000000003</v>
      </c>
      <c r="AQ6" s="315">
        <v>-694</v>
      </c>
      <c r="AR6" s="315">
        <v>-405.42</v>
      </c>
      <c r="AS6" s="333">
        <v>-19424</v>
      </c>
      <c r="AT6" s="333">
        <v>-10129.67</v>
      </c>
      <c r="AU6" s="315">
        <v>-25925</v>
      </c>
      <c r="AV6" s="315">
        <v>-22893.260000000002</v>
      </c>
      <c r="AW6" s="522">
        <v>-38136</v>
      </c>
      <c r="AX6" s="522">
        <v>-28900.79</v>
      </c>
    </row>
    <row r="7" spans="1:50" x14ac:dyDescent="0.3">
      <c r="A7" s="262" t="s">
        <v>141</v>
      </c>
      <c r="B7" s="321"/>
      <c r="C7" s="309"/>
      <c r="D7" s="313">
        <v>0</v>
      </c>
      <c r="E7" s="309"/>
      <c r="F7" s="313">
        <v>0</v>
      </c>
      <c r="G7" s="323"/>
      <c r="H7" s="315"/>
      <c r="I7" s="313"/>
      <c r="J7" s="315">
        <v>0</v>
      </c>
      <c r="K7" s="315"/>
      <c r="L7" s="315">
        <v>0</v>
      </c>
      <c r="M7" s="326"/>
      <c r="N7" s="326">
        <v>0</v>
      </c>
      <c r="O7" s="315"/>
      <c r="P7" s="1030">
        <v>0</v>
      </c>
      <c r="Q7" s="1039"/>
      <c r="R7" s="329">
        <v>0</v>
      </c>
      <c r="S7" s="315"/>
      <c r="T7" s="315">
        <v>0</v>
      </c>
      <c r="U7" s="315"/>
      <c r="V7" s="315">
        <v>0</v>
      </c>
      <c r="W7" s="315"/>
      <c r="X7" s="315">
        <v>0</v>
      </c>
      <c r="Y7" s="315"/>
      <c r="Z7" s="315">
        <v>0</v>
      </c>
      <c r="AA7" s="332"/>
      <c r="AB7" s="332">
        <v>0</v>
      </c>
      <c r="AC7" s="315"/>
      <c r="AD7" s="315">
        <v>0</v>
      </c>
      <c r="AE7" s="315"/>
      <c r="AF7" s="315">
        <v>0</v>
      </c>
      <c r="AG7" s="315"/>
      <c r="AH7" s="315">
        <v>0</v>
      </c>
      <c r="AI7" s="315"/>
      <c r="AJ7" s="315">
        <v>0</v>
      </c>
      <c r="AK7" s="315"/>
      <c r="AL7" s="315">
        <v>0</v>
      </c>
      <c r="AM7" s="335"/>
      <c r="AN7" s="335"/>
      <c r="AO7" s="714"/>
      <c r="AP7" s="715">
        <v>0</v>
      </c>
      <c r="AQ7" s="315"/>
      <c r="AR7" s="315"/>
      <c r="AS7" s="333"/>
      <c r="AT7" s="333"/>
      <c r="AU7" s="315"/>
      <c r="AV7" s="315"/>
      <c r="AW7" s="522"/>
      <c r="AX7" s="522">
        <v>0</v>
      </c>
    </row>
    <row r="8" spans="1:50" s="570" customFormat="1" ht="18" x14ac:dyDescent="0.35">
      <c r="A8" s="561" t="s">
        <v>142</v>
      </c>
      <c r="B8" s="562"/>
      <c r="C8" s="1003">
        <v>772152</v>
      </c>
      <c r="D8" s="563">
        <v>636746.49</v>
      </c>
      <c r="E8" s="1003"/>
      <c r="F8" s="563">
        <v>30062.53</v>
      </c>
      <c r="G8" s="565">
        <v>73797</v>
      </c>
      <c r="H8" s="565">
        <v>66469</v>
      </c>
      <c r="I8" s="563">
        <v>1029487</v>
      </c>
      <c r="J8" s="564">
        <v>745272.3</v>
      </c>
      <c r="K8" s="564">
        <f>K5+K6</f>
        <v>166690</v>
      </c>
      <c r="L8" s="564">
        <v>146580.61000000002</v>
      </c>
      <c r="M8" s="566">
        <v>386780</v>
      </c>
      <c r="N8" s="564">
        <v>335673.28</v>
      </c>
      <c r="O8" s="564"/>
      <c r="P8" s="1031">
        <v>65287.590000000004</v>
      </c>
      <c r="Q8" s="1040">
        <f>Q5+Q6</f>
        <v>87345</v>
      </c>
      <c r="R8" s="564">
        <v>70793.11</v>
      </c>
      <c r="S8" s="564"/>
      <c r="T8" s="564">
        <v>202214.95</v>
      </c>
      <c r="U8" s="564">
        <f>U5+U6</f>
        <v>80770</v>
      </c>
      <c r="V8" s="564">
        <v>70516.34</v>
      </c>
      <c r="W8" s="564">
        <f>W5+W6</f>
        <v>3110661</v>
      </c>
      <c r="X8" s="564">
        <v>2525429.13</v>
      </c>
      <c r="Y8" s="564">
        <f>Y5+Y6</f>
        <v>2496235</v>
      </c>
      <c r="Z8" s="564">
        <v>2309409.2400000002</v>
      </c>
      <c r="AA8" s="579">
        <f>AA5+AA6</f>
        <v>143022</v>
      </c>
      <c r="AB8" s="564">
        <v>123013.3</v>
      </c>
      <c r="AC8" s="564">
        <f>AC5+AC6</f>
        <v>337650</v>
      </c>
      <c r="AD8" s="564">
        <v>258620.36000000002</v>
      </c>
      <c r="AE8" s="564"/>
      <c r="AF8" s="564">
        <v>609786.57999999996</v>
      </c>
      <c r="AG8" s="564"/>
      <c r="AH8" s="564">
        <v>1170184.28</v>
      </c>
      <c r="AI8" s="564"/>
      <c r="AJ8" s="564">
        <v>363294.18</v>
      </c>
      <c r="AK8" s="564"/>
      <c r="AL8" s="564">
        <v>306930.53000000003</v>
      </c>
      <c r="AM8" s="564">
        <f>SUM(AM5:AM7)</f>
        <v>0</v>
      </c>
      <c r="AN8" s="564">
        <f>SUM(AN5:AN7)</f>
        <v>0</v>
      </c>
      <c r="AO8" s="716">
        <v>4099853</v>
      </c>
      <c r="AP8" s="564">
        <v>3421253.81</v>
      </c>
      <c r="AQ8" s="564"/>
      <c r="AR8" s="564">
        <v>125204.69</v>
      </c>
      <c r="AS8" s="564"/>
      <c r="AT8" s="568">
        <v>182038.35</v>
      </c>
      <c r="AU8" s="564"/>
      <c r="AV8" s="564">
        <v>680645.34</v>
      </c>
      <c r="AW8" s="1002">
        <v>18827742</v>
      </c>
      <c r="AX8" s="1002">
        <v>28121828.52</v>
      </c>
    </row>
    <row r="9" spans="1:50" ht="17.25" x14ac:dyDescent="0.35">
      <c r="A9" s="317" t="s">
        <v>143</v>
      </c>
      <c r="B9" s="321"/>
      <c r="C9" s="309"/>
      <c r="D9" s="314">
        <v>0</v>
      </c>
      <c r="E9" s="309"/>
      <c r="F9" s="314">
        <v>0</v>
      </c>
      <c r="G9" s="324"/>
      <c r="H9" s="316"/>
      <c r="I9" s="313"/>
      <c r="J9" s="316">
        <v>0</v>
      </c>
      <c r="K9" s="315"/>
      <c r="L9" s="316">
        <v>0</v>
      </c>
      <c r="M9" s="326"/>
      <c r="N9" s="327">
        <v>0</v>
      </c>
      <c r="O9" s="315"/>
      <c r="P9" s="1032">
        <v>0</v>
      </c>
      <c r="Q9" s="1039"/>
      <c r="R9" s="330">
        <v>0</v>
      </c>
      <c r="S9" s="315"/>
      <c r="T9" s="316">
        <v>0</v>
      </c>
      <c r="U9" s="315"/>
      <c r="V9" s="316">
        <v>0</v>
      </c>
      <c r="W9" s="315"/>
      <c r="X9" s="316">
        <v>0</v>
      </c>
      <c r="Y9" s="315"/>
      <c r="Z9" s="316">
        <v>0</v>
      </c>
      <c r="AA9" s="332"/>
      <c r="AB9" s="332">
        <v>0</v>
      </c>
      <c r="AC9" s="315"/>
      <c r="AD9" s="316">
        <v>0</v>
      </c>
      <c r="AE9" s="315"/>
      <c r="AF9" s="334">
        <v>0</v>
      </c>
      <c r="AG9" s="315"/>
      <c r="AH9" s="316">
        <v>0</v>
      </c>
      <c r="AI9" s="315"/>
      <c r="AJ9" s="316">
        <v>0</v>
      </c>
      <c r="AK9" s="315"/>
      <c r="AL9" s="316">
        <v>0</v>
      </c>
      <c r="AM9" s="335"/>
      <c r="AN9" s="335"/>
      <c r="AO9" s="714"/>
      <c r="AP9" s="715">
        <v>0</v>
      </c>
      <c r="AQ9" s="315"/>
      <c r="AR9" s="315"/>
      <c r="AS9" s="333"/>
      <c r="AT9" s="333"/>
      <c r="AU9" s="316"/>
      <c r="AV9" s="315"/>
      <c r="AW9" s="324"/>
      <c r="AX9" s="522">
        <v>0</v>
      </c>
    </row>
    <row r="10" spans="1:50" ht="17.25" x14ac:dyDescent="0.35">
      <c r="A10" s="262" t="s">
        <v>144</v>
      </c>
      <c r="B10" s="321"/>
      <c r="C10" s="309">
        <v>211089</v>
      </c>
      <c r="D10" s="313">
        <v>190724.78</v>
      </c>
      <c r="E10" s="309">
        <v>12229</v>
      </c>
      <c r="F10" s="313">
        <v>10699.84</v>
      </c>
      <c r="G10" s="323">
        <v>49199</v>
      </c>
      <c r="H10" s="315">
        <v>43040</v>
      </c>
      <c r="I10" s="313">
        <v>224032</v>
      </c>
      <c r="J10" s="315">
        <v>195694.27000000002</v>
      </c>
      <c r="K10" s="315">
        <v>43675</v>
      </c>
      <c r="L10" s="315">
        <v>37554.97</v>
      </c>
      <c r="M10" s="326">
        <v>74758</v>
      </c>
      <c r="N10" s="326">
        <v>62839.32</v>
      </c>
      <c r="O10" s="315">
        <v>26048</v>
      </c>
      <c r="P10" s="1030">
        <v>23267.97</v>
      </c>
      <c r="Q10" s="1039">
        <v>19355</v>
      </c>
      <c r="R10" s="329">
        <v>16423.349999999999</v>
      </c>
      <c r="S10" s="315">
        <v>88516</v>
      </c>
      <c r="T10" s="315">
        <v>79275.91</v>
      </c>
      <c r="U10" s="315">
        <v>27171</v>
      </c>
      <c r="V10" s="315">
        <v>22148.33</v>
      </c>
      <c r="W10" s="315">
        <v>702512</v>
      </c>
      <c r="X10" s="315">
        <v>578645.80000000005</v>
      </c>
      <c r="Y10" s="315">
        <v>594501</v>
      </c>
      <c r="Z10" s="315">
        <v>499794.15</v>
      </c>
      <c r="AA10" s="332">
        <v>53868</v>
      </c>
      <c r="AB10" s="315">
        <v>46797.91</v>
      </c>
      <c r="AC10" s="315">
        <v>69590</v>
      </c>
      <c r="AD10" s="315">
        <v>64680.35</v>
      </c>
      <c r="AE10" s="315">
        <v>172580</v>
      </c>
      <c r="AF10" s="315">
        <v>152305.18</v>
      </c>
      <c r="AG10" s="315">
        <v>382124</v>
      </c>
      <c r="AH10" s="315">
        <v>327902.52</v>
      </c>
      <c r="AI10" s="315">
        <v>131044</v>
      </c>
      <c r="AJ10" s="315">
        <v>110665.37</v>
      </c>
      <c r="AK10" s="315">
        <v>108256</v>
      </c>
      <c r="AL10" s="315">
        <v>93976.45</v>
      </c>
      <c r="AM10" s="335"/>
      <c r="AN10" s="335"/>
      <c r="AO10" s="714">
        <v>830305</v>
      </c>
      <c r="AP10" s="714">
        <v>721463.73</v>
      </c>
      <c r="AQ10" s="315">
        <v>29814</v>
      </c>
      <c r="AR10" s="315">
        <v>24231.360000000001</v>
      </c>
      <c r="AS10" s="333">
        <v>56756</v>
      </c>
      <c r="AT10" s="333">
        <v>44693.63</v>
      </c>
      <c r="AU10" s="316">
        <v>149175</v>
      </c>
      <c r="AV10" s="315">
        <v>115995.03</v>
      </c>
      <c r="AW10" s="522">
        <v>18827742</v>
      </c>
      <c r="AX10" s="522">
        <v>17127525.850000001</v>
      </c>
    </row>
    <row r="11" spans="1:50" x14ac:dyDescent="0.3">
      <c r="A11" s="262" t="s">
        <v>145</v>
      </c>
      <c r="B11" s="321"/>
      <c r="C11" s="309">
        <v>191562</v>
      </c>
      <c r="D11" s="313">
        <v>136131.85</v>
      </c>
      <c r="E11" s="309">
        <v>16564</v>
      </c>
      <c r="F11" s="313">
        <v>10537.73</v>
      </c>
      <c r="G11" s="323">
        <v>31478</v>
      </c>
      <c r="H11" s="315">
        <v>21395</v>
      </c>
      <c r="I11" s="313">
        <v>318446</v>
      </c>
      <c r="J11" s="315">
        <v>220304.26</v>
      </c>
      <c r="K11" s="315">
        <v>35376</v>
      </c>
      <c r="L11" s="315">
        <v>19038.510000000002</v>
      </c>
      <c r="M11" s="326">
        <v>111993</v>
      </c>
      <c r="N11" s="326">
        <v>73331.33</v>
      </c>
      <c r="O11" s="315">
        <v>2082</v>
      </c>
      <c r="P11" s="1030">
        <v>8062.77</v>
      </c>
      <c r="Q11" s="1039">
        <v>18870</v>
      </c>
      <c r="R11" s="329">
        <v>14989.93</v>
      </c>
      <c r="S11" s="315">
        <v>29096</v>
      </c>
      <c r="T11" s="315">
        <v>10916.35</v>
      </c>
      <c r="U11" s="315">
        <v>2452</v>
      </c>
      <c r="V11" s="315">
        <v>11405.27</v>
      </c>
      <c r="W11" s="315">
        <v>586393</v>
      </c>
      <c r="X11" s="315">
        <v>443583.96</v>
      </c>
      <c r="Y11" s="315">
        <v>1194830</v>
      </c>
      <c r="Z11" s="315">
        <v>881992.17</v>
      </c>
      <c r="AA11" s="332">
        <v>22763</v>
      </c>
      <c r="AB11" s="315">
        <v>11744.59</v>
      </c>
      <c r="AC11" s="315">
        <v>74024</v>
      </c>
      <c r="AD11" s="315">
        <v>45904.1</v>
      </c>
      <c r="AE11" s="315">
        <v>145237</v>
      </c>
      <c r="AF11" s="315">
        <v>95094.36</v>
      </c>
      <c r="AG11" s="315">
        <v>545648</v>
      </c>
      <c r="AH11" s="315">
        <v>328640.19</v>
      </c>
      <c r="AI11" s="315">
        <v>84866</v>
      </c>
      <c r="AJ11" s="315">
        <v>47273.04</v>
      </c>
      <c r="AK11" s="315">
        <v>79194</v>
      </c>
      <c r="AL11" s="315">
        <v>40401.42</v>
      </c>
      <c r="AM11" s="335"/>
      <c r="AN11" s="335"/>
      <c r="AO11" s="714">
        <v>757865</v>
      </c>
      <c r="AP11" s="714">
        <v>572865.27</v>
      </c>
      <c r="AQ11" s="315">
        <v>5436</v>
      </c>
      <c r="AR11" s="315">
        <v>7663.05</v>
      </c>
      <c r="AS11" s="333">
        <v>46981</v>
      </c>
      <c r="AT11" s="333">
        <v>35038.57</v>
      </c>
      <c r="AU11" s="315">
        <v>314658</v>
      </c>
      <c r="AV11" s="315">
        <v>125303.96</v>
      </c>
      <c r="AW11" s="522">
        <v>4268566</v>
      </c>
      <c r="AX11" s="522">
        <v>3666979.24</v>
      </c>
    </row>
    <row r="12" spans="1:50" x14ac:dyDescent="0.3">
      <c r="A12" s="262" t="s">
        <v>146</v>
      </c>
      <c r="B12" s="321"/>
      <c r="C12" s="309">
        <v>-18583</v>
      </c>
      <c r="D12" s="313">
        <v>-62971.49</v>
      </c>
      <c r="E12" s="309">
        <v>-1697</v>
      </c>
      <c r="F12" s="313">
        <v>-4165.26</v>
      </c>
      <c r="G12" s="323">
        <v>-2436</v>
      </c>
      <c r="H12" s="315">
        <v>-20347</v>
      </c>
      <c r="I12" s="313">
        <v>-43372</v>
      </c>
      <c r="J12" s="315">
        <v>-106167.89</v>
      </c>
      <c r="K12" s="315">
        <v>-4435</v>
      </c>
      <c r="L12" s="315">
        <v>-5708.03</v>
      </c>
      <c r="M12" s="326">
        <v>-8884</v>
      </c>
      <c r="N12" s="326">
        <v>-53386.48</v>
      </c>
      <c r="O12" s="315">
        <v>-368</v>
      </c>
      <c r="P12" s="1030">
        <v>-903.82</v>
      </c>
      <c r="Q12" s="1039">
        <v>-2820</v>
      </c>
      <c r="R12" s="329">
        <v>-7717.16</v>
      </c>
      <c r="S12" s="315">
        <v>-469</v>
      </c>
      <c r="T12" s="315">
        <v>-3409.51</v>
      </c>
      <c r="U12" s="315">
        <v>-1654</v>
      </c>
      <c r="V12" s="315">
        <v>-2791.25</v>
      </c>
      <c r="W12" s="315">
        <v>-72996</v>
      </c>
      <c r="X12" s="315">
        <v>-165770.16</v>
      </c>
      <c r="Y12" s="315">
        <v>-43385</v>
      </c>
      <c r="Z12" s="315">
        <v>-506422.36</v>
      </c>
      <c r="AA12" s="332">
        <v>-876</v>
      </c>
      <c r="AB12" s="315">
        <v>-18304</v>
      </c>
      <c r="AC12" s="315">
        <v>-6616</v>
      </c>
      <c r="AD12" s="315">
        <v>-21118.75</v>
      </c>
      <c r="AE12" s="315">
        <v>-15930</v>
      </c>
      <c r="AF12" s="315">
        <v>-37684.020000000004</v>
      </c>
      <c r="AG12" s="315">
        <v>-94852</v>
      </c>
      <c r="AH12" s="315">
        <v>-108133.52</v>
      </c>
      <c r="AI12" s="315">
        <v>-14081</v>
      </c>
      <c r="AJ12" s="315">
        <v>-16034.2</v>
      </c>
      <c r="AK12" s="315">
        <v>-6004</v>
      </c>
      <c r="AL12" s="315">
        <v>-18374.61</v>
      </c>
      <c r="AM12" s="335"/>
      <c r="AN12" s="335"/>
      <c r="AO12" s="714">
        <v>-56333</v>
      </c>
      <c r="AP12" s="714">
        <v>-176190.5</v>
      </c>
      <c r="AQ12" s="315">
        <v>-232</v>
      </c>
      <c r="AR12" s="315">
        <v>-3388.84</v>
      </c>
      <c r="AS12" s="333">
        <v>-5616</v>
      </c>
      <c r="AT12" s="333">
        <v>-13551.79</v>
      </c>
      <c r="AU12" s="315">
        <v>-24352</v>
      </c>
      <c r="AV12" s="315">
        <v>-27328.62</v>
      </c>
      <c r="AW12" s="522">
        <v>-633700</v>
      </c>
      <c r="AX12" s="522">
        <v>-298033.57</v>
      </c>
    </row>
    <row r="13" spans="1:50" x14ac:dyDescent="0.3">
      <c r="A13" s="262" t="s">
        <v>147</v>
      </c>
      <c r="B13" s="321"/>
      <c r="C13" s="309">
        <v>78583</v>
      </c>
      <c r="D13" s="313">
        <v>405857.75</v>
      </c>
      <c r="E13" s="309">
        <v>190</v>
      </c>
      <c r="F13" s="313">
        <v>20645.490000000002</v>
      </c>
      <c r="G13" s="323">
        <v>20477</v>
      </c>
      <c r="H13" s="315">
        <v>89214</v>
      </c>
      <c r="I13" s="313">
        <v>177957</v>
      </c>
      <c r="J13" s="315">
        <v>630370.25</v>
      </c>
      <c r="K13" s="315">
        <v>2038</v>
      </c>
      <c r="L13" s="315">
        <v>31592.97</v>
      </c>
      <c r="M13" s="326">
        <v>53011</v>
      </c>
      <c r="N13" s="326">
        <v>271759.99</v>
      </c>
      <c r="O13" s="315">
        <v>2709</v>
      </c>
      <c r="P13" s="1030">
        <v>8477.67</v>
      </c>
      <c r="Q13" s="1039">
        <v>7458</v>
      </c>
      <c r="R13" s="329">
        <v>27204.87</v>
      </c>
      <c r="S13" s="315">
        <v>2887</v>
      </c>
      <c r="T13" s="315">
        <v>44346.79</v>
      </c>
      <c r="U13" s="315">
        <v>-893</v>
      </c>
      <c r="V13" s="315">
        <v>8765.9500000000007</v>
      </c>
      <c r="W13" s="315">
        <v>565964</v>
      </c>
      <c r="X13" s="315">
        <v>1809755.08</v>
      </c>
      <c r="Y13" s="315">
        <v>573189</v>
      </c>
      <c r="Z13" s="315">
        <v>3112870.22</v>
      </c>
      <c r="AA13" s="332">
        <v>27087</v>
      </c>
      <c r="AB13" s="315">
        <v>78396.19</v>
      </c>
      <c r="AC13" s="315">
        <v>6496</v>
      </c>
      <c r="AD13" s="315">
        <v>110489.28</v>
      </c>
      <c r="AE13" s="315">
        <v>86288</v>
      </c>
      <c r="AF13" s="315">
        <v>328836.43</v>
      </c>
      <c r="AG13" s="315">
        <v>-59823</v>
      </c>
      <c r="AH13" s="315">
        <v>406454.17</v>
      </c>
      <c r="AI13" s="315">
        <v>48603</v>
      </c>
      <c r="AJ13" s="315">
        <v>149587.22</v>
      </c>
      <c r="AK13" s="315">
        <v>13708</v>
      </c>
      <c r="AL13" s="315">
        <v>137970.97</v>
      </c>
      <c r="AM13" s="335"/>
      <c r="AN13" s="335"/>
      <c r="AO13" s="714">
        <v>525335</v>
      </c>
      <c r="AP13" s="714">
        <v>1576868.97</v>
      </c>
      <c r="AQ13" s="315"/>
      <c r="AR13" s="315"/>
      <c r="AS13" s="333"/>
      <c r="AT13" s="333"/>
      <c r="AU13" s="315">
        <v>20358</v>
      </c>
      <c r="AV13" s="315">
        <v>465942.45</v>
      </c>
      <c r="AW13" s="522">
        <v>77021</v>
      </c>
      <c r="AX13" s="522">
        <v>636113.67000000004</v>
      </c>
    </row>
    <row r="14" spans="1:50" ht="17.25" x14ac:dyDescent="0.35">
      <c r="A14" s="262" t="s">
        <v>148</v>
      </c>
      <c r="B14" s="321"/>
      <c r="C14" s="309">
        <v>11129</v>
      </c>
      <c r="D14" s="314">
        <v>0</v>
      </c>
      <c r="E14" s="309">
        <v>1981</v>
      </c>
      <c r="F14" s="314">
        <v>1477.31</v>
      </c>
      <c r="G14" s="324"/>
      <c r="H14" s="316"/>
      <c r="I14" s="313">
        <v>9849</v>
      </c>
      <c r="J14" s="316">
        <v>7576.74</v>
      </c>
      <c r="K14" s="315">
        <v>323</v>
      </c>
      <c r="L14" s="316">
        <v>0</v>
      </c>
      <c r="M14" s="326">
        <v>5952</v>
      </c>
      <c r="N14" s="327">
        <v>0</v>
      </c>
      <c r="O14" s="315">
        <v>-716</v>
      </c>
      <c r="P14" s="1032">
        <v>-716.1</v>
      </c>
      <c r="Q14" s="1039"/>
      <c r="R14" s="330">
        <v>0</v>
      </c>
      <c r="S14" s="315">
        <v>-386</v>
      </c>
      <c r="T14" s="316">
        <v>0</v>
      </c>
      <c r="U14" s="315">
        <v>323</v>
      </c>
      <c r="V14" s="316">
        <v>0</v>
      </c>
      <c r="W14" s="315"/>
      <c r="X14" s="316">
        <v>0</v>
      </c>
      <c r="Y14" s="315">
        <v>30172</v>
      </c>
      <c r="Z14" s="316">
        <v>41245.94</v>
      </c>
      <c r="AA14" s="332">
        <v>372</v>
      </c>
      <c r="AB14" s="332">
        <v>981.81000000000006</v>
      </c>
      <c r="AC14" s="315">
        <v>-1012</v>
      </c>
      <c r="AD14" s="316">
        <v>-766.17000000000007</v>
      </c>
      <c r="AE14" s="315">
        <v>4306</v>
      </c>
      <c r="AF14" s="334">
        <v>0</v>
      </c>
      <c r="AG14" s="315">
        <v>5991</v>
      </c>
      <c r="AH14" s="316">
        <v>0</v>
      </c>
      <c r="AI14" s="315">
        <v>2013</v>
      </c>
      <c r="AJ14" s="316">
        <v>972.16</v>
      </c>
      <c r="AK14" s="315">
        <v>2640</v>
      </c>
      <c r="AL14" s="316">
        <v>3145.91</v>
      </c>
      <c r="AM14" s="335"/>
      <c r="AN14" s="335"/>
      <c r="AO14" s="714">
        <v>-327</v>
      </c>
      <c r="AP14" s="714">
        <v>0</v>
      </c>
      <c r="AQ14" s="315">
        <v>880</v>
      </c>
      <c r="AR14" s="315">
        <v>-575.62</v>
      </c>
      <c r="AS14" s="333">
        <v>2548</v>
      </c>
      <c r="AT14" s="333"/>
      <c r="AU14" s="316">
        <v>17349</v>
      </c>
      <c r="AV14" s="315">
        <v>13646.720000000001</v>
      </c>
      <c r="AW14" s="324"/>
      <c r="AX14" s="522">
        <v>0</v>
      </c>
    </row>
    <row r="15" spans="1:50" ht="17.25" x14ac:dyDescent="0.35">
      <c r="A15" s="262" t="s">
        <v>203</v>
      </c>
      <c r="B15" s="321"/>
      <c r="C15" s="309"/>
      <c r="D15" s="314">
        <v>0</v>
      </c>
      <c r="E15" s="309"/>
      <c r="F15" s="314">
        <v>0</v>
      </c>
      <c r="G15" s="324"/>
      <c r="H15" s="316"/>
      <c r="I15" s="313"/>
      <c r="J15" s="316">
        <v>0</v>
      </c>
      <c r="K15" s="315"/>
      <c r="L15" s="316">
        <v>0</v>
      </c>
      <c r="M15" s="326"/>
      <c r="N15" s="327">
        <v>0</v>
      </c>
      <c r="O15" s="315"/>
      <c r="P15" s="1032">
        <v>0</v>
      </c>
      <c r="Q15" s="1039"/>
      <c r="R15" s="330">
        <v>0</v>
      </c>
      <c r="S15" s="315"/>
      <c r="T15" s="316">
        <v>0</v>
      </c>
      <c r="U15" s="315">
        <v>388</v>
      </c>
      <c r="V15" s="316">
        <v>0</v>
      </c>
      <c r="W15" s="315"/>
      <c r="X15" s="316">
        <v>0</v>
      </c>
      <c r="Y15" s="315"/>
      <c r="Z15" s="316">
        <v>0</v>
      </c>
      <c r="AA15" s="332"/>
      <c r="AB15" s="332">
        <v>0</v>
      </c>
      <c r="AC15" s="315">
        <v>457</v>
      </c>
      <c r="AD15" s="316">
        <v>0</v>
      </c>
      <c r="AE15" s="315"/>
      <c r="AF15" s="334">
        <v>0</v>
      </c>
      <c r="AG15" s="315">
        <v>3593</v>
      </c>
      <c r="AH15" s="316">
        <v>0</v>
      </c>
      <c r="AI15" s="315"/>
      <c r="AJ15" s="316">
        <v>0</v>
      </c>
      <c r="AK15" s="315">
        <v>1104</v>
      </c>
      <c r="AL15" s="316">
        <v>0</v>
      </c>
      <c r="AM15" s="335"/>
      <c r="AN15" s="335"/>
      <c r="AO15" s="714"/>
      <c r="AP15" s="714">
        <v>0</v>
      </c>
      <c r="AQ15" s="315">
        <v>2508</v>
      </c>
      <c r="AR15" s="315">
        <v>12291.42</v>
      </c>
      <c r="AS15" s="333">
        <v>-7902</v>
      </c>
      <c r="AT15" s="333">
        <v>49222.64</v>
      </c>
      <c r="AU15" s="316"/>
      <c r="AV15" s="315"/>
      <c r="AW15" s="324"/>
      <c r="AX15" s="522">
        <v>0</v>
      </c>
    </row>
    <row r="16" spans="1:50" x14ac:dyDescent="0.3">
      <c r="A16" s="317" t="s">
        <v>149</v>
      </c>
      <c r="B16" s="321"/>
      <c r="C16" s="309"/>
      <c r="D16" s="313">
        <v>0</v>
      </c>
      <c r="E16" s="309"/>
      <c r="F16" s="313">
        <v>0</v>
      </c>
      <c r="G16" s="323"/>
      <c r="H16" s="315"/>
      <c r="I16" s="313"/>
      <c r="J16" s="315">
        <v>0</v>
      </c>
      <c r="K16" s="315"/>
      <c r="L16" s="315">
        <v>0</v>
      </c>
      <c r="M16" s="326"/>
      <c r="N16" s="326">
        <v>0</v>
      </c>
      <c r="O16" s="315"/>
      <c r="P16" s="1030">
        <v>0</v>
      </c>
      <c r="Q16" s="1039"/>
      <c r="R16" s="329">
        <v>0</v>
      </c>
      <c r="S16" s="315"/>
      <c r="T16" s="315">
        <v>0</v>
      </c>
      <c r="U16" s="315"/>
      <c r="V16" s="315">
        <v>0</v>
      </c>
      <c r="W16" s="315"/>
      <c r="X16" s="315">
        <v>0</v>
      </c>
      <c r="Y16" s="315"/>
      <c r="Z16" s="315">
        <v>0</v>
      </c>
      <c r="AA16" s="332"/>
      <c r="AB16" s="332">
        <v>0</v>
      </c>
      <c r="AC16" s="315"/>
      <c r="AD16" s="315">
        <v>0</v>
      </c>
      <c r="AE16" s="315"/>
      <c r="AF16" s="315">
        <v>0</v>
      </c>
      <c r="AG16" s="315"/>
      <c r="AH16" s="315">
        <v>0</v>
      </c>
      <c r="AI16" s="315"/>
      <c r="AJ16" s="315">
        <v>0</v>
      </c>
      <c r="AK16" s="315"/>
      <c r="AL16" s="315">
        <v>0</v>
      </c>
      <c r="AM16" s="335"/>
      <c r="AN16" s="335"/>
      <c r="AO16" s="714"/>
      <c r="AP16" s="715">
        <v>0</v>
      </c>
      <c r="AQ16" s="315"/>
      <c r="AR16" s="315"/>
      <c r="AS16" s="333"/>
      <c r="AT16" s="333"/>
      <c r="AU16" s="315"/>
      <c r="AV16" s="315"/>
      <c r="AW16" s="323"/>
      <c r="AX16" s="522">
        <v>0</v>
      </c>
    </row>
    <row r="17" spans="1:50" x14ac:dyDescent="0.3">
      <c r="A17" s="262" t="s">
        <v>150</v>
      </c>
      <c r="B17" s="321"/>
      <c r="C17" s="309">
        <v>13686</v>
      </c>
      <c r="D17" s="313">
        <v>14597.25</v>
      </c>
      <c r="E17" s="309">
        <v>7961</v>
      </c>
      <c r="F17" s="313">
        <v>7067.7300000000005</v>
      </c>
      <c r="G17" s="323">
        <f>76+2754</f>
        <v>2830</v>
      </c>
      <c r="H17" s="315">
        <f>83+3315</f>
        <v>3398</v>
      </c>
      <c r="I17" s="313">
        <v>872</v>
      </c>
      <c r="J17" s="315">
        <v>38721.35</v>
      </c>
      <c r="K17" s="315"/>
      <c r="L17" s="315">
        <v>0</v>
      </c>
      <c r="M17" s="326"/>
      <c r="N17" s="326">
        <v>19136.3</v>
      </c>
      <c r="O17" s="315">
        <v>1968</v>
      </c>
      <c r="P17" s="1030">
        <v>449.93</v>
      </c>
      <c r="Q17" s="1039">
        <v>19275</v>
      </c>
      <c r="R17" s="329">
        <v>21111.96</v>
      </c>
      <c r="S17" s="315">
        <v>15486</v>
      </c>
      <c r="T17" s="315">
        <v>10207.450000000001</v>
      </c>
      <c r="U17" s="315">
        <v>8823</v>
      </c>
      <c r="V17" s="315">
        <v>5285.6500000000005</v>
      </c>
      <c r="W17" s="315">
        <v>26442</v>
      </c>
      <c r="X17" s="315">
        <v>1727.6100000000001</v>
      </c>
      <c r="Y17" s="315">
        <v>118353</v>
      </c>
      <c r="Z17" s="315">
        <v>98108.46</v>
      </c>
      <c r="AA17" s="332"/>
      <c r="AB17" s="332">
        <v>0</v>
      </c>
      <c r="AC17" s="315">
        <v>38812</v>
      </c>
      <c r="AD17" s="315">
        <v>12963.550000000001</v>
      </c>
      <c r="AE17" s="315"/>
      <c r="AF17" s="315">
        <v>213.86</v>
      </c>
      <c r="AG17" s="315"/>
      <c r="AH17" s="315">
        <v>0</v>
      </c>
      <c r="AI17" s="315">
        <v>19460</v>
      </c>
      <c r="AJ17" s="315">
        <v>6116.08</v>
      </c>
      <c r="AK17" s="315"/>
      <c r="AL17" s="315">
        <v>4138.9800000000005</v>
      </c>
      <c r="AM17" s="335"/>
      <c r="AN17" s="335"/>
      <c r="AO17" s="714"/>
      <c r="AP17" s="715">
        <v>0</v>
      </c>
      <c r="AQ17" s="315"/>
      <c r="AR17" s="315">
        <v>254.29</v>
      </c>
      <c r="AS17" s="333"/>
      <c r="AT17" s="333"/>
      <c r="AU17" s="315"/>
      <c r="AV17" s="315">
        <v>19654.8</v>
      </c>
      <c r="AW17" s="323"/>
      <c r="AX17" s="522">
        <v>0</v>
      </c>
    </row>
    <row r="18" spans="1:50" x14ac:dyDescent="0.3">
      <c r="A18" s="262" t="s">
        <v>151</v>
      </c>
      <c r="B18" s="321"/>
      <c r="C18" s="309"/>
      <c r="D18" s="313">
        <v>0</v>
      </c>
      <c r="E18" s="309"/>
      <c r="F18" s="313">
        <v>0</v>
      </c>
      <c r="G18" s="323"/>
      <c r="H18" s="315"/>
      <c r="I18" s="313">
        <v>3981</v>
      </c>
      <c r="J18" s="315">
        <v>1329.74</v>
      </c>
      <c r="K18" s="315"/>
      <c r="L18" s="315">
        <v>0</v>
      </c>
      <c r="M18" s="326">
        <v>33</v>
      </c>
      <c r="N18" s="326">
        <v>0</v>
      </c>
      <c r="O18" s="315"/>
      <c r="P18" s="1030">
        <v>0</v>
      </c>
      <c r="Q18" s="1039">
        <v>7</v>
      </c>
      <c r="R18" s="329">
        <v>8.4499999999999993</v>
      </c>
      <c r="S18" s="315"/>
      <c r="T18" s="315">
        <v>0</v>
      </c>
      <c r="U18" s="315"/>
      <c r="V18" s="315">
        <v>0</v>
      </c>
      <c r="W18" s="315">
        <v>2029</v>
      </c>
      <c r="X18" s="315">
        <v>2177.13</v>
      </c>
      <c r="Y18" s="315">
        <v>3010</v>
      </c>
      <c r="Z18" s="315">
        <v>3508.01</v>
      </c>
      <c r="AA18" s="332"/>
      <c r="AB18" s="332">
        <v>0</v>
      </c>
      <c r="AC18" s="315"/>
      <c r="AD18" s="315">
        <v>0</v>
      </c>
      <c r="AE18" s="315">
        <v>128</v>
      </c>
      <c r="AF18" s="315">
        <v>110.68</v>
      </c>
      <c r="AG18" s="315"/>
      <c r="AH18" s="315">
        <v>0</v>
      </c>
      <c r="AI18" s="315"/>
      <c r="AJ18" s="315">
        <v>0</v>
      </c>
      <c r="AK18" s="315"/>
      <c r="AL18" s="315">
        <v>0</v>
      </c>
      <c r="AM18" s="335"/>
      <c r="AN18" s="335"/>
      <c r="AO18" s="714">
        <v>925</v>
      </c>
      <c r="AP18" s="714">
        <v>998.11</v>
      </c>
      <c r="AQ18" s="315"/>
      <c r="AR18" s="315"/>
      <c r="AS18" s="333"/>
      <c r="AT18" s="333"/>
      <c r="AU18" s="315"/>
      <c r="AV18" s="315"/>
      <c r="AW18" s="323"/>
      <c r="AX18" s="522">
        <v>0</v>
      </c>
    </row>
    <row r="19" spans="1:50" x14ac:dyDescent="0.3">
      <c r="A19" s="262" t="s">
        <v>152</v>
      </c>
      <c r="B19" s="321"/>
      <c r="C19" s="309">
        <v>3813</v>
      </c>
      <c r="D19" s="313">
        <v>3677.07</v>
      </c>
      <c r="E19" s="309">
        <v>23</v>
      </c>
      <c r="F19" s="313">
        <v>31.25</v>
      </c>
      <c r="G19" s="323">
        <v>223</v>
      </c>
      <c r="H19" s="315">
        <v>234</v>
      </c>
      <c r="I19" s="313"/>
      <c r="J19" s="315">
        <v>3406.9500000000003</v>
      </c>
      <c r="K19" s="315">
        <f>303</f>
        <v>303</v>
      </c>
      <c r="L19" s="315">
        <v>1436.29</v>
      </c>
      <c r="M19" s="326">
        <f>223+38</f>
        <v>261</v>
      </c>
      <c r="N19" s="326">
        <v>168.4</v>
      </c>
      <c r="O19" s="315">
        <f>37+427</f>
        <v>464</v>
      </c>
      <c r="P19" s="1030">
        <v>1814.08</v>
      </c>
      <c r="Q19" s="1039">
        <v>158</v>
      </c>
      <c r="R19" s="329">
        <v>207.57</v>
      </c>
      <c r="S19" s="315">
        <v>282</v>
      </c>
      <c r="T19" s="315">
        <v>451.42</v>
      </c>
      <c r="U19" s="315"/>
      <c r="V19" s="315">
        <v>281.77</v>
      </c>
      <c r="W19" s="315">
        <v>9319</v>
      </c>
      <c r="X19" s="315">
        <v>9500.67</v>
      </c>
      <c r="Y19" s="315">
        <f>4792+179</f>
        <v>4971</v>
      </c>
      <c r="Z19" s="315">
        <v>3552.75</v>
      </c>
      <c r="AA19" s="332"/>
      <c r="AB19" s="332">
        <v>10.08</v>
      </c>
      <c r="AC19" s="315"/>
      <c r="AD19" s="315">
        <v>849.68000000000006</v>
      </c>
      <c r="AE19" s="315">
        <f>254+29</f>
        <v>283</v>
      </c>
      <c r="AF19" s="315">
        <v>-0.08</v>
      </c>
      <c r="AG19" s="315">
        <v>3593</v>
      </c>
      <c r="AH19" s="315">
        <v>3302.41</v>
      </c>
      <c r="AI19" s="315">
        <f>883+155</f>
        <v>1038</v>
      </c>
      <c r="AJ19" s="315">
        <v>1297.6200000000001</v>
      </c>
      <c r="AK19" s="315">
        <f>7850+1104</f>
        <v>8954</v>
      </c>
      <c r="AL19" s="315">
        <v>761.15</v>
      </c>
      <c r="AM19" s="335"/>
      <c r="AN19" s="335"/>
      <c r="AO19" s="714">
        <v>2318</v>
      </c>
      <c r="AP19" s="714">
        <v>1560.73</v>
      </c>
      <c r="AQ19" s="315">
        <f>201+557+179</f>
        <v>937</v>
      </c>
      <c r="AR19" s="315">
        <v>987.76</v>
      </c>
      <c r="AS19" s="333">
        <v>282</v>
      </c>
      <c r="AT19" s="333">
        <v>210.05</v>
      </c>
      <c r="AU19" s="315">
        <f>3804+31268+294+2579+25</f>
        <v>37970</v>
      </c>
      <c r="AV19" s="315">
        <v>5632.13</v>
      </c>
      <c r="AW19" s="323">
        <f>58124-24</f>
        <v>58100</v>
      </c>
      <c r="AX19" s="522">
        <v>48460.9</v>
      </c>
    </row>
    <row r="20" spans="1:50" s="570" customFormat="1" ht="18" x14ac:dyDescent="0.35">
      <c r="A20" s="561" t="s">
        <v>20</v>
      </c>
      <c r="B20" s="562"/>
      <c r="C20" s="1003">
        <v>1263431</v>
      </c>
      <c r="D20" s="563">
        <v>1324763.7</v>
      </c>
      <c r="E20" s="1003">
        <v>59842</v>
      </c>
      <c r="F20" s="563">
        <v>76356.62</v>
      </c>
      <c r="G20" s="565">
        <v>175568</v>
      </c>
      <c r="H20" s="564">
        <v>203403</v>
      </c>
      <c r="I20" s="563">
        <v>1721252</v>
      </c>
      <c r="J20" s="564">
        <v>1736507.97</v>
      </c>
      <c r="K20" s="564">
        <v>243971</v>
      </c>
      <c r="L20" s="564">
        <v>230495.32</v>
      </c>
      <c r="M20" s="566">
        <v>623904</v>
      </c>
      <c r="N20" s="566">
        <v>709522.14</v>
      </c>
      <c r="O20" s="564">
        <v>105799</v>
      </c>
      <c r="P20" s="1031">
        <v>105740.09</v>
      </c>
      <c r="Q20" s="1040">
        <v>149648</v>
      </c>
      <c r="R20" s="567">
        <v>143842.08000000002</v>
      </c>
      <c r="S20" s="564">
        <v>366627</v>
      </c>
      <c r="T20" s="564">
        <v>344003.36</v>
      </c>
      <c r="U20" s="564">
        <v>122380</v>
      </c>
      <c r="V20" s="564">
        <v>115612.06</v>
      </c>
      <c r="W20" s="564">
        <v>4930344</v>
      </c>
      <c r="X20" s="564">
        <v>5205049.22</v>
      </c>
      <c r="Y20" s="564">
        <v>4971876</v>
      </c>
      <c r="Z20" s="564">
        <v>6444058.5800000001</v>
      </c>
      <c r="AA20" s="579">
        <v>246236</v>
      </c>
      <c r="AB20" s="579">
        <v>242639.88</v>
      </c>
      <c r="AC20" s="564">
        <v>519402</v>
      </c>
      <c r="AD20" s="564">
        <v>471622.42</v>
      </c>
      <c r="AE20" s="564">
        <v>1145727</v>
      </c>
      <c r="AF20" s="564">
        <v>1148662.99</v>
      </c>
      <c r="AG20" s="564">
        <v>2194417</v>
      </c>
      <c r="AH20" s="564">
        <v>2128350.0499999998</v>
      </c>
      <c r="AI20" s="564">
        <v>720006</v>
      </c>
      <c r="AJ20" s="564">
        <v>663171.47</v>
      </c>
      <c r="AK20" s="564">
        <v>543820</v>
      </c>
      <c r="AL20" s="564">
        <v>568950.80000000005</v>
      </c>
      <c r="AM20" s="569"/>
      <c r="AN20" s="569"/>
      <c r="AO20" s="716">
        <v>6159933</v>
      </c>
      <c r="AP20" s="716">
        <v>6118820.1299999999</v>
      </c>
      <c r="AQ20" s="564">
        <v>182930</v>
      </c>
      <c r="AR20" s="564">
        <v>166668.11000000002</v>
      </c>
      <c r="AS20" s="568">
        <v>358189</v>
      </c>
      <c r="AT20" s="568">
        <v>297651.45</v>
      </c>
      <c r="AU20" s="564">
        <v>1379977</v>
      </c>
      <c r="AV20" s="564">
        <v>1399491.81</v>
      </c>
      <c r="AW20" s="580">
        <v>50965058</v>
      </c>
      <c r="AX20" s="1002">
        <v>49302874.609999999</v>
      </c>
    </row>
    <row r="21" spans="1:50" x14ac:dyDescent="0.3">
      <c r="A21" s="262" t="s">
        <v>59</v>
      </c>
      <c r="B21" s="317" t="s">
        <v>153</v>
      </c>
      <c r="C21" s="309">
        <v>39827</v>
      </c>
      <c r="D21" s="313">
        <v>35376.480000000003</v>
      </c>
      <c r="E21" s="309">
        <v>240</v>
      </c>
      <c r="F21" s="313">
        <v>360.78000000000003</v>
      </c>
      <c r="G21" s="323">
        <v>2076</v>
      </c>
      <c r="H21" s="315">
        <v>1483</v>
      </c>
      <c r="I21" s="313">
        <v>51135</v>
      </c>
      <c r="J21" s="315">
        <v>35000.57</v>
      </c>
      <c r="K21" s="315">
        <v>11522</v>
      </c>
      <c r="L21" s="315">
        <v>11152.800000000001</v>
      </c>
      <c r="M21" s="326">
        <v>22221</v>
      </c>
      <c r="N21" s="326">
        <v>17615.18</v>
      </c>
      <c r="O21" s="315">
        <v>2212</v>
      </c>
      <c r="P21" s="1030">
        <v>2058.27</v>
      </c>
      <c r="Q21" s="1039">
        <v>6589</v>
      </c>
      <c r="R21" s="329">
        <v>6633.47</v>
      </c>
      <c r="S21" s="315">
        <v>11997</v>
      </c>
      <c r="T21" s="315">
        <v>13924.12</v>
      </c>
      <c r="U21" s="315">
        <v>2470</v>
      </c>
      <c r="V21" s="315">
        <v>2116.36</v>
      </c>
      <c r="W21" s="315">
        <v>131954</v>
      </c>
      <c r="X21" s="315">
        <v>111287.74</v>
      </c>
      <c r="Y21" s="315">
        <v>111647</v>
      </c>
      <c r="Z21" s="315">
        <v>94264.01</v>
      </c>
      <c r="AA21" s="332">
        <v>5319</v>
      </c>
      <c r="AB21" s="332">
        <v>4003.1</v>
      </c>
      <c r="AC21" s="315">
        <v>14098</v>
      </c>
      <c r="AD21" s="315">
        <v>10864.52</v>
      </c>
      <c r="AE21" s="315">
        <v>32800</v>
      </c>
      <c r="AF21" s="315">
        <v>27414.83</v>
      </c>
      <c r="AG21" s="315">
        <v>90795</v>
      </c>
      <c r="AH21" s="315">
        <v>75365.73</v>
      </c>
      <c r="AI21" s="315">
        <v>26189</v>
      </c>
      <c r="AJ21" s="315">
        <v>20786.97</v>
      </c>
      <c r="AK21" s="315">
        <v>10401</v>
      </c>
      <c r="AL21" s="315">
        <v>9816.7000000000007</v>
      </c>
      <c r="AM21" s="335"/>
      <c r="AN21" s="335"/>
      <c r="AO21" s="714">
        <v>145305</v>
      </c>
      <c r="AP21" s="714">
        <v>118921.67</v>
      </c>
      <c r="AQ21" s="315">
        <v>8998</v>
      </c>
      <c r="AR21" s="315">
        <v>8001.12</v>
      </c>
      <c r="AS21" s="333">
        <v>16724</v>
      </c>
      <c r="AT21" s="333">
        <v>12456.12</v>
      </c>
      <c r="AU21" s="315">
        <v>82745</v>
      </c>
      <c r="AV21" s="315">
        <v>66455.12</v>
      </c>
      <c r="AW21" s="522">
        <v>1542889</v>
      </c>
      <c r="AX21" s="522">
        <v>1447453.72</v>
      </c>
    </row>
    <row r="22" spans="1:50" x14ac:dyDescent="0.3">
      <c r="A22" s="262" t="s">
        <v>154</v>
      </c>
      <c r="B22" s="317" t="s">
        <v>155</v>
      </c>
      <c r="C22" s="309">
        <v>105313</v>
      </c>
      <c r="D22" s="313">
        <v>89787.180000000008</v>
      </c>
      <c r="E22" s="309">
        <v>13592</v>
      </c>
      <c r="F22" s="313">
        <v>15172.74</v>
      </c>
      <c r="G22" s="323">
        <v>20251</v>
      </c>
      <c r="H22" s="315">
        <v>21157</v>
      </c>
      <c r="I22" s="313">
        <v>190154</v>
      </c>
      <c r="J22" s="315">
        <v>126462.62000000001</v>
      </c>
      <c r="K22" s="315">
        <v>62757</v>
      </c>
      <c r="L22" s="315">
        <v>47020.67</v>
      </c>
      <c r="M22" s="326">
        <v>48975</v>
      </c>
      <c r="N22" s="326">
        <v>42245.11</v>
      </c>
      <c r="O22" s="315">
        <v>18899</v>
      </c>
      <c r="P22" s="1030">
        <v>18002.420000000002</v>
      </c>
      <c r="Q22" s="1039">
        <v>38023</v>
      </c>
      <c r="R22" s="329">
        <v>39075.67</v>
      </c>
      <c r="S22" s="315">
        <v>51530</v>
      </c>
      <c r="T22" s="315">
        <v>46822.32</v>
      </c>
      <c r="U22" s="315">
        <v>33707</v>
      </c>
      <c r="V22" s="315">
        <v>36845.950000000004</v>
      </c>
      <c r="W22" s="315">
        <v>380353</v>
      </c>
      <c r="X22" s="315">
        <v>307586.78000000003</v>
      </c>
      <c r="Y22" s="315">
        <v>237432</v>
      </c>
      <c r="Z22" s="315">
        <v>183451.41</v>
      </c>
      <c r="AA22" s="332">
        <v>19718</v>
      </c>
      <c r="AB22" s="332">
        <v>15805.53</v>
      </c>
      <c r="AC22" s="315">
        <v>48062</v>
      </c>
      <c r="AD22" s="315">
        <v>37655.64</v>
      </c>
      <c r="AE22" s="315">
        <v>115622</v>
      </c>
      <c r="AF22" s="315">
        <v>101918.26000000001</v>
      </c>
      <c r="AG22" s="315">
        <v>218408</v>
      </c>
      <c r="AH22" s="315">
        <v>183242.94</v>
      </c>
      <c r="AI22" s="315">
        <v>82372</v>
      </c>
      <c r="AJ22" s="315">
        <v>69540.899999999994</v>
      </c>
      <c r="AK22" s="315">
        <v>77839</v>
      </c>
      <c r="AL22" s="315">
        <v>76243.95</v>
      </c>
      <c r="AM22" s="335"/>
      <c r="AN22" s="335"/>
      <c r="AO22" s="714">
        <v>210195</v>
      </c>
      <c r="AP22" s="714">
        <v>175577.22</v>
      </c>
      <c r="AQ22" s="315">
        <v>35965</v>
      </c>
      <c r="AR22" s="315">
        <v>34553.660000000003</v>
      </c>
      <c r="AS22" s="333">
        <v>35188</v>
      </c>
      <c r="AT22" s="333">
        <v>26963.440000000002</v>
      </c>
      <c r="AU22" s="315">
        <v>180970</v>
      </c>
      <c r="AV22" s="315">
        <v>117314.66</v>
      </c>
      <c r="AW22" s="522">
        <v>2715479</v>
      </c>
      <c r="AX22" s="522">
        <v>2603686.63</v>
      </c>
    </row>
    <row r="23" spans="1:50" x14ac:dyDescent="0.3">
      <c r="A23" s="262" t="s">
        <v>199</v>
      </c>
      <c r="B23" s="317"/>
      <c r="C23" s="309"/>
      <c r="D23" s="313">
        <v>0</v>
      </c>
      <c r="E23" s="309"/>
      <c r="F23" s="313">
        <v>0</v>
      </c>
      <c r="G23" s="323"/>
      <c r="H23" s="315"/>
      <c r="I23" s="313"/>
      <c r="J23" s="315">
        <v>0</v>
      </c>
      <c r="K23" s="315"/>
      <c r="L23" s="315">
        <v>0</v>
      </c>
      <c r="M23" s="326"/>
      <c r="N23" s="326">
        <v>0</v>
      </c>
      <c r="O23" s="315"/>
      <c r="P23" s="1030">
        <v>0</v>
      </c>
      <c r="Q23" s="1039"/>
      <c r="R23" s="329">
        <v>0</v>
      </c>
      <c r="S23" s="315"/>
      <c r="T23" s="315">
        <v>0</v>
      </c>
      <c r="U23" s="315"/>
      <c r="V23" s="315">
        <v>0</v>
      </c>
      <c r="W23" s="315"/>
      <c r="X23" s="315">
        <v>0</v>
      </c>
      <c r="Y23" s="315"/>
      <c r="Z23" s="315">
        <v>0</v>
      </c>
      <c r="AA23" s="332"/>
      <c r="AB23" s="332">
        <v>0</v>
      </c>
      <c r="AC23" s="315"/>
      <c r="AD23" s="315">
        <v>0</v>
      </c>
      <c r="AE23" s="315"/>
      <c r="AF23" s="315">
        <v>0</v>
      </c>
      <c r="AG23" s="315"/>
      <c r="AH23" s="315">
        <v>0</v>
      </c>
      <c r="AI23" s="315"/>
      <c r="AJ23" s="315">
        <v>0</v>
      </c>
      <c r="AK23" s="315"/>
      <c r="AL23" s="315">
        <v>0</v>
      </c>
      <c r="AM23" s="335"/>
      <c r="AN23" s="335"/>
      <c r="AO23" s="714"/>
      <c r="AP23" s="714">
        <v>0</v>
      </c>
      <c r="AQ23" s="315"/>
      <c r="AR23" s="315"/>
      <c r="AS23" s="333"/>
      <c r="AT23" s="333"/>
      <c r="AU23" s="315"/>
      <c r="AV23" s="315"/>
      <c r="AW23" s="522"/>
      <c r="AX23" s="522">
        <v>0</v>
      </c>
    </row>
    <row r="24" spans="1:50" x14ac:dyDescent="0.3">
      <c r="A24" s="262" t="s">
        <v>156</v>
      </c>
      <c r="B24" s="321"/>
      <c r="C24" s="309"/>
      <c r="D24" s="313">
        <v>3.77</v>
      </c>
      <c r="E24" s="309">
        <v>-8</v>
      </c>
      <c r="F24" s="313">
        <v>30.04</v>
      </c>
      <c r="G24" s="323">
        <v>68</v>
      </c>
      <c r="H24" s="315">
        <v>67</v>
      </c>
      <c r="I24" s="313">
        <v>55</v>
      </c>
      <c r="J24" s="315">
        <v>74.64</v>
      </c>
      <c r="K24" s="315">
        <v>319</v>
      </c>
      <c r="L24" s="315">
        <v>97.570000000000007</v>
      </c>
      <c r="M24" s="326">
        <v>6</v>
      </c>
      <c r="N24" s="326">
        <v>-0.45</v>
      </c>
      <c r="O24" s="315"/>
      <c r="P24" s="1030">
        <v>0</v>
      </c>
      <c r="Q24" s="1039">
        <v>60</v>
      </c>
      <c r="R24" s="329">
        <v>33.19</v>
      </c>
      <c r="S24" s="315"/>
      <c r="T24" s="315">
        <v>0</v>
      </c>
      <c r="U24" s="315">
        <v>-62</v>
      </c>
      <c r="V24" s="315">
        <v>156.25</v>
      </c>
      <c r="W24" s="315"/>
      <c r="X24" s="315">
        <v>0</v>
      </c>
      <c r="Y24" s="315">
        <v>53</v>
      </c>
      <c r="Z24" s="315">
        <v>98.93</v>
      </c>
      <c r="AA24" s="332">
        <v>2</v>
      </c>
      <c r="AB24" s="332">
        <v>4.41</v>
      </c>
      <c r="AC24" s="315"/>
      <c r="AD24" s="315">
        <v>0</v>
      </c>
      <c r="AE24" s="315"/>
      <c r="AF24" s="315">
        <v>0</v>
      </c>
      <c r="AG24" s="315">
        <v>157</v>
      </c>
      <c r="AH24" s="315">
        <v>270.48</v>
      </c>
      <c r="AI24" s="315"/>
      <c r="AJ24" s="315">
        <v>0</v>
      </c>
      <c r="AK24" s="315">
        <v>-45</v>
      </c>
      <c r="AL24" s="315">
        <v>95.27</v>
      </c>
      <c r="AM24" s="335"/>
      <c r="AN24" s="335"/>
      <c r="AO24" s="714">
        <v>130</v>
      </c>
      <c r="AP24" s="714">
        <v>11.43</v>
      </c>
      <c r="AQ24" s="315"/>
      <c r="AR24" s="315"/>
      <c r="AS24" s="333">
        <v>20</v>
      </c>
      <c r="AT24" s="333">
        <v>-9.4500000000000011</v>
      </c>
      <c r="AU24" s="315"/>
      <c r="AV24" s="315"/>
      <c r="AW24" s="522">
        <v>-21352</v>
      </c>
      <c r="AX24" s="522">
        <v>-42356.67</v>
      </c>
    </row>
    <row r="25" spans="1:50" ht="17.25" x14ac:dyDescent="0.35">
      <c r="A25" s="262" t="s">
        <v>157</v>
      </c>
      <c r="B25" s="321"/>
      <c r="C25" s="309">
        <v>118</v>
      </c>
      <c r="D25" s="314">
        <v>0</v>
      </c>
      <c r="E25" s="309"/>
      <c r="F25" s="314">
        <v>0</v>
      </c>
      <c r="G25" s="324"/>
      <c r="H25" s="316"/>
      <c r="I25" s="313">
        <v>79</v>
      </c>
      <c r="J25" s="316">
        <v>70.98</v>
      </c>
      <c r="K25" s="315">
        <v>107</v>
      </c>
      <c r="L25" s="316">
        <v>213.99</v>
      </c>
      <c r="M25" s="326"/>
      <c r="N25" s="327">
        <v>0</v>
      </c>
      <c r="O25" s="315"/>
      <c r="P25" s="1032">
        <v>0</v>
      </c>
      <c r="Q25" s="1039"/>
      <c r="R25" s="330">
        <v>0</v>
      </c>
      <c r="S25" s="315"/>
      <c r="T25" s="316">
        <v>0</v>
      </c>
      <c r="U25" s="315"/>
      <c r="V25" s="316">
        <v>0</v>
      </c>
      <c r="W25" s="315"/>
      <c r="X25" s="316">
        <v>0</v>
      </c>
      <c r="Y25" s="315">
        <v>241</v>
      </c>
      <c r="Z25" s="316">
        <v>156.97999999999999</v>
      </c>
      <c r="AA25" s="332"/>
      <c r="AB25" s="332">
        <v>0</v>
      </c>
      <c r="AC25" s="315"/>
      <c r="AD25" s="316">
        <v>0</v>
      </c>
      <c r="AE25" s="315">
        <v>1282</v>
      </c>
      <c r="AF25" s="334">
        <v>0</v>
      </c>
      <c r="AG25" s="315">
        <v>1</v>
      </c>
      <c r="AH25" s="316">
        <v>0.98</v>
      </c>
      <c r="AI25" s="315"/>
      <c r="AJ25" s="316">
        <v>0</v>
      </c>
      <c r="AK25" s="315">
        <v>151</v>
      </c>
      <c r="AL25" s="316">
        <v>34.770000000000003</v>
      </c>
      <c r="AM25" s="335"/>
      <c r="AN25" s="335"/>
      <c r="AO25" s="714">
        <v>2929</v>
      </c>
      <c r="AP25" s="717">
        <v>12.84</v>
      </c>
      <c r="AQ25" s="315"/>
      <c r="AR25" s="315"/>
      <c r="AS25" s="333">
        <v>19</v>
      </c>
      <c r="AT25" s="333">
        <v>26.5</v>
      </c>
      <c r="AU25" s="316"/>
      <c r="AV25" s="315"/>
      <c r="AW25" s="324"/>
      <c r="AX25" s="522">
        <v>0</v>
      </c>
    </row>
    <row r="26" spans="1:50" x14ac:dyDescent="0.3">
      <c r="A26" s="262" t="s">
        <v>158</v>
      </c>
      <c r="B26" s="321"/>
      <c r="C26" s="309"/>
      <c r="D26" s="313">
        <v>0</v>
      </c>
      <c r="E26" s="309"/>
      <c r="F26" s="313">
        <v>0</v>
      </c>
      <c r="G26" s="323"/>
      <c r="H26" s="315"/>
      <c r="I26" s="313"/>
      <c r="J26" s="315"/>
      <c r="K26" s="315"/>
      <c r="L26" s="315">
        <v>0</v>
      </c>
      <c r="M26" s="326"/>
      <c r="N26" s="326">
        <v>0</v>
      </c>
      <c r="O26" s="315"/>
      <c r="P26" s="1030">
        <v>0</v>
      </c>
      <c r="Q26" s="1039"/>
      <c r="R26" s="329">
        <v>0</v>
      </c>
      <c r="S26" s="315"/>
      <c r="T26" s="315">
        <v>0</v>
      </c>
      <c r="U26" s="315"/>
      <c r="V26" s="315">
        <v>0</v>
      </c>
      <c r="W26" s="315">
        <v>2965</v>
      </c>
      <c r="X26" s="315">
        <v>9057.86</v>
      </c>
      <c r="Y26" s="315"/>
      <c r="Z26" s="315">
        <v>0</v>
      </c>
      <c r="AA26" s="332"/>
      <c r="AB26" s="332">
        <v>0</v>
      </c>
      <c r="AC26" s="315"/>
      <c r="AD26" s="315">
        <v>0</v>
      </c>
      <c r="AE26" s="315">
        <v>8455</v>
      </c>
      <c r="AF26" s="315">
        <v>13807.42</v>
      </c>
      <c r="AG26" s="315"/>
      <c r="AH26" s="315">
        <v>0</v>
      </c>
      <c r="AI26" s="315">
        <v>2039</v>
      </c>
      <c r="AJ26" s="315">
        <v>2639.42</v>
      </c>
      <c r="AK26" s="315">
        <v>4427</v>
      </c>
      <c r="AL26" s="315">
        <v>0</v>
      </c>
      <c r="AM26" s="335"/>
      <c r="AN26" s="335"/>
      <c r="AO26" s="714"/>
      <c r="AP26" s="715">
        <v>0</v>
      </c>
      <c r="AQ26" s="315">
        <v>226</v>
      </c>
      <c r="AR26" s="315">
        <v>2345.77</v>
      </c>
      <c r="AS26" s="333">
        <v>552</v>
      </c>
      <c r="AT26" s="333">
        <v>668.84</v>
      </c>
      <c r="AU26" s="315">
        <v>-1590</v>
      </c>
      <c r="AV26" s="315">
        <v>-36016.69</v>
      </c>
      <c r="AW26" s="522">
        <v>791888</v>
      </c>
      <c r="AX26" s="522">
        <v>696962.78</v>
      </c>
    </row>
    <row r="27" spans="1:50" x14ac:dyDescent="0.3">
      <c r="A27" s="262" t="s">
        <v>159</v>
      </c>
      <c r="B27" s="321"/>
      <c r="C27" s="309">
        <v>3204</v>
      </c>
      <c r="D27" s="313">
        <v>2595.7200000000003</v>
      </c>
      <c r="E27" s="309"/>
      <c r="F27" s="313">
        <v>0</v>
      </c>
      <c r="G27" s="323"/>
      <c r="H27" s="315"/>
      <c r="I27" s="313"/>
      <c r="J27" s="315"/>
      <c r="K27" s="315"/>
      <c r="L27" s="315">
        <v>0</v>
      </c>
      <c r="M27" s="326"/>
      <c r="N27" s="326">
        <v>0</v>
      </c>
      <c r="O27" s="315"/>
      <c r="P27" s="1030">
        <v>0</v>
      </c>
      <c r="Q27" s="1039"/>
      <c r="R27" s="329">
        <v>0</v>
      </c>
      <c r="S27" s="315"/>
      <c r="T27" s="315">
        <v>0</v>
      </c>
      <c r="U27" s="315"/>
      <c r="V27" s="315">
        <v>0</v>
      </c>
      <c r="W27" s="315"/>
      <c r="X27" s="315">
        <v>0</v>
      </c>
      <c r="Y27" s="315"/>
      <c r="Z27" s="315">
        <v>0</v>
      </c>
      <c r="AA27" s="332"/>
      <c r="AB27" s="332">
        <v>0</v>
      </c>
      <c r="AC27" s="315"/>
      <c r="AD27" s="315">
        <v>0</v>
      </c>
      <c r="AE27" s="315"/>
      <c r="AF27" s="315">
        <v>0</v>
      </c>
      <c r="AG27" s="315"/>
      <c r="AH27" s="315">
        <v>0</v>
      </c>
      <c r="AI27" s="315"/>
      <c r="AJ27" s="315">
        <v>0</v>
      </c>
      <c r="AK27" s="315"/>
      <c r="AL27" s="315">
        <v>0</v>
      </c>
      <c r="AM27" s="335"/>
      <c r="AN27" s="335"/>
      <c r="AO27" s="714">
        <v>9510</v>
      </c>
      <c r="AP27" s="714">
        <v>21777.98</v>
      </c>
      <c r="AQ27" s="315"/>
      <c r="AR27" s="315"/>
      <c r="AS27" s="333"/>
      <c r="AT27" s="333"/>
      <c r="AU27" s="315"/>
      <c r="AV27" s="315"/>
      <c r="AW27" s="522"/>
      <c r="AX27" s="522"/>
    </row>
    <row r="28" spans="1:50" x14ac:dyDescent="0.3">
      <c r="A28" s="262" t="s">
        <v>160</v>
      </c>
      <c r="B28" s="321"/>
      <c r="C28" s="309"/>
      <c r="D28" s="313">
        <v>0</v>
      </c>
      <c r="E28" s="309"/>
      <c r="F28" s="313">
        <v>0</v>
      </c>
      <c r="G28" s="323"/>
      <c r="H28" s="315">
        <v>72</v>
      </c>
      <c r="I28" s="313">
        <v>-15599</v>
      </c>
      <c r="J28" s="315"/>
      <c r="K28" s="315"/>
      <c r="L28" s="315">
        <v>0</v>
      </c>
      <c r="M28" s="326"/>
      <c r="N28" s="326">
        <v>0</v>
      </c>
      <c r="O28" s="315"/>
      <c r="P28" s="1030">
        <v>0</v>
      </c>
      <c r="Q28" s="1039"/>
      <c r="R28" s="329">
        <v>0</v>
      </c>
      <c r="S28" s="315"/>
      <c r="T28" s="315">
        <v>0</v>
      </c>
      <c r="U28" s="315"/>
      <c r="V28" s="315">
        <v>0</v>
      </c>
      <c r="W28" s="315"/>
      <c r="X28" s="315">
        <v>0</v>
      </c>
      <c r="Y28" s="315"/>
      <c r="Z28" s="315">
        <v>0</v>
      </c>
      <c r="AA28" s="332"/>
      <c r="AB28" s="332">
        <v>0</v>
      </c>
      <c r="AC28" s="315"/>
      <c r="AD28" s="315">
        <v>0</v>
      </c>
      <c r="AE28" s="315"/>
      <c r="AF28" s="315">
        <v>0</v>
      </c>
      <c r="AG28" s="315"/>
      <c r="AH28" s="315">
        <v>0</v>
      </c>
      <c r="AI28" s="315"/>
      <c r="AJ28" s="315">
        <v>0</v>
      </c>
      <c r="AK28" s="315"/>
      <c r="AL28" s="315">
        <v>0</v>
      </c>
      <c r="AM28" s="335"/>
      <c r="AN28" s="335"/>
      <c r="AO28" s="714"/>
      <c r="AP28" s="715">
        <v>0</v>
      </c>
      <c r="AQ28" s="315"/>
      <c r="AR28" s="315"/>
      <c r="AS28" s="333"/>
      <c r="AT28" s="333"/>
      <c r="AU28" s="315"/>
      <c r="AV28" s="315"/>
      <c r="AW28" s="522"/>
      <c r="AX28" s="522"/>
    </row>
    <row r="29" spans="1:50" x14ac:dyDescent="0.3">
      <c r="A29" s="262" t="s">
        <v>161</v>
      </c>
      <c r="B29" s="321"/>
      <c r="C29" s="309">
        <v>-1</v>
      </c>
      <c r="D29" s="313">
        <v>488.76</v>
      </c>
      <c r="E29" s="309">
        <v>125</v>
      </c>
      <c r="F29" s="313">
        <v>0</v>
      </c>
      <c r="G29" s="323">
        <v>904</v>
      </c>
      <c r="H29" s="315"/>
      <c r="I29" s="313">
        <v>-5000</v>
      </c>
      <c r="J29" s="315">
        <v>-6950.27</v>
      </c>
      <c r="K29" s="315"/>
      <c r="L29" s="315">
        <v>0</v>
      </c>
      <c r="M29" s="326"/>
      <c r="N29" s="326">
        <v>0</v>
      </c>
      <c r="O29" s="315">
        <v>-793</v>
      </c>
      <c r="P29" s="1030">
        <v>805</v>
      </c>
      <c r="Q29" s="1039">
        <v>-601</v>
      </c>
      <c r="R29" s="329">
        <v>0</v>
      </c>
      <c r="S29" s="315">
        <v>316</v>
      </c>
      <c r="T29" s="315">
        <v>250</v>
      </c>
      <c r="U29" s="315">
        <v>-500</v>
      </c>
      <c r="V29" s="315">
        <v>773</v>
      </c>
      <c r="W29" s="315">
        <v>-26045</v>
      </c>
      <c r="X29" s="315">
        <v>-9896.7100000000009</v>
      </c>
      <c r="Y29" s="315"/>
      <c r="Z29" s="315">
        <v>2012.3400000000001</v>
      </c>
      <c r="AA29" s="332">
        <v>-422</v>
      </c>
      <c r="AB29" s="332">
        <v>369.02</v>
      </c>
      <c r="AC29" s="315"/>
      <c r="AD29" s="315">
        <v>-233.14000000000001</v>
      </c>
      <c r="AE29" s="315">
        <v>-2503</v>
      </c>
      <c r="AF29" s="315">
        <v>-573.69000000000005</v>
      </c>
      <c r="AG29" s="315">
        <v>5131</v>
      </c>
      <c r="AH29" s="315">
        <v>2184.77</v>
      </c>
      <c r="AI29" s="315"/>
      <c r="AJ29" s="315">
        <v>0</v>
      </c>
      <c r="AK29" s="315">
        <v>-6408</v>
      </c>
      <c r="AL29" s="315">
        <v>0</v>
      </c>
      <c r="AM29" s="335"/>
      <c r="AN29" s="335"/>
      <c r="AO29" s="714">
        <v>-89</v>
      </c>
      <c r="AP29" s="714">
        <v>-13949.45</v>
      </c>
      <c r="AQ29" s="315"/>
      <c r="AR29" s="315"/>
      <c r="AS29" s="333">
        <v>-1933</v>
      </c>
      <c r="AT29" s="333">
        <v>2466</v>
      </c>
      <c r="AU29" s="315">
        <v>-118</v>
      </c>
      <c r="AV29" s="315">
        <v>27.97</v>
      </c>
      <c r="AW29" s="522">
        <v>-152008</v>
      </c>
      <c r="AX29" s="522">
        <v>21955.98</v>
      </c>
    </row>
    <row r="30" spans="1:50" ht="17.25" x14ac:dyDescent="0.35">
      <c r="A30" s="262" t="s">
        <v>162</v>
      </c>
      <c r="B30" s="321"/>
      <c r="C30" s="309"/>
      <c r="D30" s="314">
        <v>-1.22</v>
      </c>
      <c r="E30" s="309"/>
      <c r="F30" s="314">
        <v>0</v>
      </c>
      <c r="G30" s="324"/>
      <c r="H30" s="316"/>
      <c r="I30" s="313"/>
      <c r="J30" s="316">
        <v>0</v>
      </c>
      <c r="K30" s="315"/>
      <c r="L30" s="316">
        <v>0</v>
      </c>
      <c r="M30" s="326"/>
      <c r="N30" s="327">
        <v>0</v>
      </c>
      <c r="O30" s="315"/>
      <c r="P30" s="1032">
        <v>0</v>
      </c>
      <c r="Q30" s="1039"/>
      <c r="R30" s="330">
        <v>0</v>
      </c>
      <c r="S30" s="315"/>
      <c r="T30" s="316">
        <v>0</v>
      </c>
      <c r="U30" s="315"/>
      <c r="V30" s="316">
        <v>0</v>
      </c>
      <c r="W30" s="315">
        <v>212</v>
      </c>
      <c r="X30" s="316">
        <v>52.45</v>
      </c>
      <c r="Y30" s="315"/>
      <c r="Z30" s="316">
        <v>0</v>
      </c>
      <c r="AA30" s="332"/>
      <c r="AB30" s="332">
        <v>0</v>
      </c>
      <c r="AC30" s="315"/>
      <c r="AD30" s="316">
        <v>0</v>
      </c>
      <c r="AE30" s="315"/>
      <c r="AF30" s="334">
        <v>-0.75</v>
      </c>
      <c r="AG30" s="315"/>
      <c r="AH30" s="316">
        <v>0</v>
      </c>
      <c r="AI30" s="315"/>
      <c r="AJ30" s="316">
        <v>0</v>
      </c>
      <c r="AK30" s="315"/>
      <c r="AL30" s="316">
        <v>0</v>
      </c>
      <c r="AM30" s="335"/>
      <c r="AN30" s="335"/>
      <c r="AO30" s="714">
        <v>-5275</v>
      </c>
      <c r="AP30" s="717">
        <v>-24.830000000000002</v>
      </c>
      <c r="AQ30" s="315"/>
      <c r="AR30" s="315"/>
      <c r="AS30" s="333"/>
      <c r="AT30" s="333"/>
      <c r="AU30" s="316"/>
      <c r="AV30" s="315"/>
      <c r="AW30" s="324"/>
      <c r="AX30" s="522"/>
    </row>
    <row r="31" spans="1:50" ht="17.25" x14ac:dyDescent="0.35">
      <c r="A31" s="262" t="s">
        <v>211</v>
      </c>
      <c r="B31" s="321"/>
      <c r="C31" s="309">
        <v>-1</v>
      </c>
      <c r="D31" s="314">
        <v>0</v>
      </c>
      <c r="E31" s="309"/>
      <c r="F31" s="314">
        <v>0</v>
      </c>
      <c r="G31" s="324"/>
      <c r="H31" s="316"/>
      <c r="I31" s="313">
        <f>5000+29</f>
        <v>5029</v>
      </c>
      <c r="J31" s="316">
        <v>54.97</v>
      </c>
      <c r="K31" s="315"/>
      <c r="L31" s="316">
        <v>0</v>
      </c>
      <c r="M31" s="326">
        <v>375</v>
      </c>
      <c r="N31" s="327">
        <v>0</v>
      </c>
      <c r="O31" s="315">
        <v>18</v>
      </c>
      <c r="P31" s="1032">
        <v>0</v>
      </c>
      <c r="Q31" s="1039"/>
      <c r="R31" s="330">
        <v>0</v>
      </c>
      <c r="S31" s="315"/>
      <c r="T31" s="316">
        <v>0</v>
      </c>
      <c r="U31" s="315"/>
      <c r="V31" s="316">
        <v>0</v>
      </c>
      <c r="W31" s="315"/>
      <c r="X31" s="316">
        <v>0</v>
      </c>
      <c r="Y31" s="315"/>
      <c r="Z31" s="316">
        <v>0</v>
      </c>
      <c r="AA31" s="332"/>
      <c r="AB31" s="332">
        <v>0</v>
      </c>
      <c r="AC31" s="315"/>
      <c r="AD31" s="316">
        <v>0</v>
      </c>
      <c r="AE31" s="315"/>
      <c r="AF31" s="334">
        <v>0</v>
      </c>
      <c r="AG31" s="315"/>
      <c r="AH31" s="316">
        <v>0</v>
      </c>
      <c r="AI31" s="315">
        <v>288</v>
      </c>
      <c r="AJ31" s="316">
        <v>178.56</v>
      </c>
      <c r="AK31" s="315"/>
      <c r="AL31" s="316">
        <v>0</v>
      </c>
      <c r="AM31" s="335"/>
      <c r="AN31" s="335"/>
      <c r="AO31" s="714"/>
      <c r="AP31" s="717">
        <v>0</v>
      </c>
      <c r="AQ31" s="315"/>
      <c r="AR31" s="315">
        <v>7.42</v>
      </c>
      <c r="AS31" s="333"/>
      <c r="AT31" s="333"/>
      <c r="AU31" s="316"/>
      <c r="AV31" s="315"/>
      <c r="AW31" s="324"/>
      <c r="AX31" s="522">
        <v>237324.07</v>
      </c>
    </row>
    <row r="32" spans="1:50" x14ac:dyDescent="0.3">
      <c r="A32" s="262" t="s">
        <v>163</v>
      </c>
      <c r="B32" s="321"/>
      <c r="C32" s="309">
        <v>8926</v>
      </c>
      <c r="D32" s="313">
        <v>8298.2800000000007</v>
      </c>
      <c r="E32" s="309">
        <v>244</v>
      </c>
      <c r="F32" s="313">
        <v>256.60000000000002</v>
      </c>
      <c r="G32" s="323">
        <v>1036</v>
      </c>
      <c r="H32" s="315">
        <v>981</v>
      </c>
      <c r="I32" s="313">
        <v>10700</v>
      </c>
      <c r="J32" s="315">
        <v>8785.66</v>
      </c>
      <c r="K32" s="315">
        <v>523</v>
      </c>
      <c r="L32" s="315">
        <v>384.85</v>
      </c>
      <c r="M32" s="326">
        <v>4535</v>
      </c>
      <c r="N32" s="326">
        <v>4040.63</v>
      </c>
      <c r="O32" s="315">
        <v>110</v>
      </c>
      <c r="P32" s="1030">
        <v>112.18</v>
      </c>
      <c r="Q32" s="1039">
        <v>573</v>
      </c>
      <c r="R32" s="329">
        <v>478.67</v>
      </c>
      <c r="S32" s="315"/>
      <c r="T32" s="315">
        <v>345.51</v>
      </c>
      <c r="U32" s="315">
        <v>229</v>
      </c>
      <c r="V32" s="315">
        <v>275.92</v>
      </c>
      <c r="W32" s="315">
        <v>27333</v>
      </c>
      <c r="X32" s="315">
        <v>26100.09</v>
      </c>
      <c r="Y32" s="315">
        <v>51282</v>
      </c>
      <c r="Z32" s="315">
        <v>47297.05</v>
      </c>
      <c r="AA32" s="332">
        <v>1398</v>
      </c>
      <c r="AB32" s="333">
        <v>1215.1300000000001</v>
      </c>
      <c r="AC32" s="315">
        <v>2582</v>
      </c>
      <c r="AD32" s="315">
        <v>2164.2600000000002</v>
      </c>
      <c r="AE32" s="315">
        <v>5928</v>
      </c>
      <c r="AF32" s="315">
        <v>4855.88</v>
      </c>
      <c r="AG32" s="315">
        <v>13481</v>
      </c>
      <c r="AH32" s="315">
        <v>11471.91</v>
      </c>
      <c r="AI32" s="315">
        <v>3467</v>
      </c>
      <c r="AJ32" s="315">
        <v>3208.98</v>
      </c>
      <c r="AK32" s="315">
        <v>2571</v>
      </c>
      <c r="AL32" s="315">
        <v>2310.7000000000003</v>
      </c>
      <c r="AM32" s="335"/>
      <c r="AN32" s="335"/>
      <c r="AO32" s="714">
        <v>53063</v>
      </c>
      <c r="AP32" s="714">
        <v>45738.450000000004</v>
      </c>
      <c r="AQ32" s="315">
        <v>178</v>
      </c>
      <c r="AR32" s="315">
        <v>190.86</v>
      </c>
      <c r="AS32" s="333">
        <v>749</v>
      </c>
      <c r="AT32" s="333">
        <v>668.13</v>
      </c>
      <c r="AU32" s="315">
        <v>6412</v>
      </c>
      <c r="AV32" s="315">
        <v>4586.22</v>
      </c>
      <c r="AW32" s="323">
        <v>5568</v>
      </c>
      <c r="AX32" s="522">
        <v>5691.79</v>
      </c>
    </row>
    <row r="33" spans="1:50" s="570" customFormat="1" ht="18" x14ac:dyDescent="0.35">
      <c r="A33" s="561" t="s">
        <v>164</v>
      </c>
      <c r="B33" s="562"/>
      <c r="C33" s="1003">
        <v>157386</v>
      </c>
      <c r="D33" s="563">
        <v>136528.97</v>
      </c>
      <c r="E33" s="1003">
        <v>14193</v>
      </c>
      <c r="F33" s="563">
        <v>15820.16</v>
      </c>
      <c r="G33" s="565">
        <v>24335</v>
      </c>
      <c r="H33" s="564">
        <v>23760</v>
      </c>
      <c r="I33" s="563">
        <v>236553</v>
      </c>
      <c r="J33" s="564">
        <v>163499.17000000001</v>
      </c>
      <c r="K33" s="564">
        <v>75228</v>
      </c>
      <c r="L33" s="564">
        <v>58869.880000000005</v>
      </c>
      <c r="M33" s="566">
        <v>76112</v>
      </c>
      <c r="N33" s="566">
        <v>63900.47</v>
      </c>
      <c r="O33" s="564">
        <v>20446</v>
      </c>
      <c r="P33" s="1031">
        <v>20977.87</v>
      </c>
      <c r="Q33" s="1040">
        <v>44643</v>
      </c>
      <c r="R33" s="567">
        <v>46221</v>
      </c>
      <c r="S33" s="564">
        <v>63843</v>
      </c>
      <c r="T33" s="564">
        <v>61341.950000000004</v>
      </c>
      <c r="U33" s="564">
        <v>35844</v>
      </c>
      <c r="V33" s="564">
        <v>40167.480000000003</v>
      </c>
      <c r="W33" s="564">
        <v>516772</v>
      </c>
      <c r="X33" s="564">
        <v>444188.21</v>
      </c>
      <c r="Y33" s="564">
        <v>400655</v>
      </c>
      <c r="Z33" s="564">
        <v>327280.72000000003</v>
      </c>
      <c r="AA33" s="579">
        <v>26015</v>
      </c>
      <c r="AB33" s="568">
        <v>21397.19</v>
      </c>
      <c r="AC33" s="564">
        <v>67743</v>
      </c>
      <c r="AD33" s="564">
        <v>50451.29</v>
      </c>
      <c r="AE33" s="564">
        <v>161584</v>
      </c>
      <c r="AF33" s="564">
        <v>148751.38</v>
      </c>
      <c r="AG33" s="564">
        <v>327613</v>
      </c>
      <c r="AH33" s="564">
        <v>272536.81</v>
      </c>
      <c r="AI33" s="564">
        <v>114355</v>
      </c>
      <c r="AJ33" s="564">
        <v>36310.120000000003</v>
      </c>
      <c r="AK33" s="564">
        <v>88877</v>
      </c>
      <c r="AL33" s="564">
        <v>88501.39</v>
      </c>
      <c r="AM33" s="569"/>
      <c r="AN33" s="569"/>
      <c r="AO33" s="716">
        <v>415769</v>
      </c>
      <c r="AP33" s="716">
        <v>348065.31</v>
      </c>
      <c r="AQ33" s="564">
        <v>45368</v>
      </c>
      <c r="AR33" s="564">
        <v>45098.840000000004</v>
      </c>
      <c r="AS33" s="568">
        <v>51319</v>
      </c>
      <c r="AT33" s="568">
        <v>43239.58</v>
      </c>
      <c r="AU33" s="564">
        <v>268420</v>
      </c>
      <c r="AV33" s="564">
        <v>152367.28</v>
      </c>
      <c r="AW33" s="565">
        <v>4227236</v>
      </c>
      <c r="AX33" s="1002">
        <v>4970718.3</v>
      </c>
    </row>
    <row r="34" spans="1:50" x14ac:dyDescent="0.3">
      <c r="A34" s="262" t="s">
        <v>165</v>
      </c>
      <c r="B34" s="317" t="s">
        <v>166</v>
      </c>
      <c r="C34" s="309">
        <v>498027</v>
      </c>
      <c r="D34" s="313">
        <v>301304.5</v>
      </c>
      <c r="E34" s="309">
        <v>27951</v>
      </c>
      <c r="F34" s="313">
        <v>18189.53</v>
      </c>
      <c r="G34" s="323">
        <v>81304</v>
      </c>
      <c r="H34" s="315">
        <v>61701</v>
      </c>
      <c r="I34" s="313">
        <v>620795</v>
      </c>
      <c r="J34" s="315">
        <v>381486.68</v>
      </c>
      <c r="K34" s="315">
        <v>58093</v>
      </c>
      <c r="L34" s="315">
        <v>36434.730000000003</v>
      </c>
      <c r="M34" s="326">
        <v>193413</v>
      </c>
      <c r="N34" s="326">
        <v>120036.81</v>
      </c>
      <c r="O34" s="315">
        <v>38054</v>
      </c>
      <c r="P34" s="1030">
        <v>24393.83</v>
      </c>
      <c r="Q34" s="1039">
        <v>20640</v>
      </c>
      <c r="R34" s="329">
        <v>9771.5500000000011</v>
      </c>
      <c r="S34" s="315">
        <v>142827</v>
      </c>
      <c r="T34" s="315">
        <v>108668.5</v>
      </c>
      <c r="U34" s="315">
        <v>36873</v>
      </c>
      <c r="V34" s="315">
        <v>35757.35</v>
      </c>
      <c r="W34" s="315">
        <v>2177647</v>
      </c>
      <c r="X34" s="315">
        <v>1328305.67</v>
      </c>
      <c r="Y34" s="315">
        <v>2121519</v>
      </c>
      <c r="Z34" s="315">
        <v>1424569.19</v>
      </c>
      <c r="AA34" s="332">
        <v>75495</v>
      </c>
      <c r="AB34" s="333">
        <v>60672.66</v>
      </c>
      <c r="AC34" s="315">
        <v>341878</v>
      </c>
      <c r="AD34" s="315">
        <v>273080.31</v>
      </c>
      <c r="AE34" s="315">
        <v>408901</v>
      </c>
      <c r="AF34" s="315">
        <v>261679.31</v>
      </c>
      <c r="AG34" s="315">
        <v>695343</v>
      </c>
      <c r="AH34" s="315">
        <v>465037.93</v>
      </c>
      <c r="AI34" s="315">
        <v>221316</v>
      </c>
      <c r="AJ34" s="315">
        <v>72383.11</v>
      </c>
      <c r="AK34" s="315">
        <v>231704</v>
      </c>
      <c r="AL34" s="315">
        <v>173989.58000000002</v>
      </c>
      <c r="AM34" s="335"/>
      <c r="AN34" s="335"/>
      <c r="AO34" s="714">
        <v>2389933</v>
      </c>
      <c r="AP34" s="714">
        <v>1387432.07</v>
      </c>
      <c r="AQ34" s="315">
        <v>63247</v>
      </c>
      <c r="AR34" s="315">
        <v>34655.9</v>
      </c>
      <c r="AS34" s="333">
        <v>105395</v>
      </c>
      <c r="AT34" s="333">
        <v>76824.800000000003</v>
      </c>
      <c r="AU34" s="315">
        <v>296727</v>
      </c>
      <c r="AV34" s="315">
        <v>177805.32</v>
      </c>
      <c r="AW34" s="323">
        <v>23304589</v>
      </c>
      <c r="AX34" s="522">
        <v>18254697.170000002</v>
      </c>
    </row>
    <row r="35" spans="1:50" x14ac:dyDescent="0.3">
      <c r="A35" s="262" t="s">
        <v>167</v>
      </c>
      <c r="B35" s="321"/>
      <c r="C35" s="309">
        <v>878</v>
      </c>
      <c r="D35" s="313">
        <v>514.15</v>
      </c>
      <c r="E35" s="309">
        <v>11</v>
      </c>
      <c r="F35" s="313">
        <v>5.32</v>
      </c>
      <c r="G35" s="323">
        <v>223</v>
      </c>
      <c r="H35" s="315">
        <v>28</v>
      </c>
      <c r="I35" s="313">
        <v>14071</v>
      </c>
      <c r="J35" s="315">
        <v>8866.15</v>
      </c>
      <c r="K35" s="315">
        <v>1411</v>
      </c>
      <c r="L35" s="315">
        <v>0</v>
      </c>
      <c r="M35" s="326">
        <v>623</v>
      </c>
      <c r="N35" s="326">
        <v>284.29000000000002</v>
      </c>
      <c r="O35" s="315">
        <v>3</v>
      </c>
      <c r="P35" s="1030">
        <v>1.76</v>
      </c>
      <c r="Q35" s="1039">
        <v>2</v>
      </c>
      <c r="R35" s="329">
        <v>1.1300000000000001</v>
      </c>
      <c r="S35" s="315">
        <v>995</v>
      </c>
      <c r="T35" s="315">
        <v>171.78</v>
      </c>
      <c r="U35" s="315">
        <v>210</v>
      </c>
      <c r="V35" s="315">
        <v>115.21000000000001</v>
      </c>
      <c r="W35" s="315">
        <v>44382</v>
      </c>
      <c r="X35" s="315">
        <v>45414.93</v>
      </c>
      <c r="Y35" s="315">
        <v>13987</v>
      </c>
      <c r="Z35" s="315">
        <v>7757.53</v>
      </c>
      <c r="AA35" s="332">
        <v>71</v>
      </c>
      <c r="AB35" s="333">
        <v>5.75</v>
      </c>
      <c r="AC35" s="315"/>
      <c r="AD35" s="315">
        <v>0</v>
      </c>
      <c r="AE35" s="315">
        <v>3893</v>
      </c>
      <c r="AF35" s="315">
        <v>3311.11</v>
      </c>
      <c r="AG35" s="315">
        <v>306</v>
      </c>
      <c r="AH35" s="315">
        <v>201.13</v>
      </c>
      <c r="AI35" s="315">
        <v>357</v>
      </c>
      <c r="AJ35" s="315">
        <v>65.94</v>
      </c>
      <c r="AK35" s="315">
        <v>36</v>
      </c>
      <c r="AL35" s="315">
        <v>21.580000000000002</v>
      </c>
      <c r="AM35" s="335"/>
      <c r="AN35" s="335"/>
      <c r="AO35" s="714">
        <v>6713</v>
      </c>
      <c r="AP35" s="714">
        <v>4866.5600000000004</v>
      </c>
      <c r="AQ35" s="315">
        <v>26</v>
      </c>
      <c r="AR35" s="315">
        <v>23.88</v>
      </c>
      <c r="AS35" s="333">
        <v>2</v>
      </c>
      <c r="AT35" s="333">
        <v>1.1200000000000001</v>
      </c>
      <c r="AU35" s="315"/>
      <c r="AV35" s="315"/>
      <c r="AW35" s="323">
        <v>247000</v>
      </c>
      <c r="AX35" s="522">
        <v>18171.03</v>
      </c>
    </row>
    <row r="36" spans="1:50" ht="17.25" x14ac:dyDescent="0.35">
      <c r="A36" s="262" t="s">
        <v>168</v>
      </c>
      <c r="B36" s="321"/>
      <c r="C36" s="309"/>
      <c r="D36" s="314">
        <v>0</v>
      </c>
      <c r="E36" s="309"/>
      <c r="F36" s="314">
        <v>0</v>
      </c>
      <c r="G36" s="324"/>
      <c r="H36" s="316"/>
      <c r="I36" s="313"/>
      <c r="J36" s="316">
        <v>0</v>
      </c>
      <c r="K36" s="315"/>
      <c r="L36" s="316">
        <v>0</v>
      </c>
      <c r="M36" s="326"/>
      <c r="N36" s="327">
        <v>0</v>
      </c>
      <c r="O36" s="315"/>
      <c r="P36" s="1032">
        <v>0</v>
      </c>
      <c r="Q36" s="1039"/>
      <c r="R36" s="330">
        <v>0</v>
      </c>
      <c r="S36" s="315"/>
      <c r="T36" s="316">
        <v>0</v>
      </c>
      <c r="U36" s="315"/>
      <c r="V36" s="316">
        <v>0</v>
      </c>
      <c r="W36" s="315"/>
      <c r="X36" s="316">
        <v>0</v>
      </c>
      <c r="Y36" s="315"/>
      <c r="Z36" s="316">
        <v>0</v>
      </c>
      <c r="AA36" s="332"/>
      <c r="AB36" s="332">
        <v>0</v>
      </c>
      <c r="AC36" s="315"/>
      <c r="AD36" s="316">
        <v>0</v>
      </c>
      <c r="AE36" s="315"/>
      <c r="AF36" s="334">
        <v>0</v>
      </c>
      <c r="AG36" s="315"/>
      <c r="AH36" s="316">
        <v>0</v>
      </c>
      <c r="AI36" s="315"/>
      <c r="AJ36" s="316">
        <v>0</v>
      </c>
      <c r="AK36" s="315"/>
      <c r="AL36" s="316">
        <v>0</v>
      </c>
      <c r="AM36" s="335"/>
      <c r="AN36" s="335"/>
      <c r="AO36" s="714"/>
      <c r="AP36" s="715">
        <v>0</v>
      </c>
      <c r="AQ36" s="315"/>
      <c r="AR36" s="315">
        <v>0</v>
      </c>
      <c r="AS36" s="333"/>
      <c r="AT36" s="333">
        <v>0</v>
      </c>
      <c r="AU36" s="316"/>
      <c r="AV36" s="315"/>
      <c r="AW36" s="324"/>
      <c r="AX36" s="522"/>
    </row>
    <row r="37" spans="1:50" x14ac:dyDescent="0.3">
      <c r="A37" s="262" t="s">
        <v>169</v>
      </c>
      <c r="B37" s="321"/>
      <c r="C37" s="309">
        <v>385684</v>
      </c>
      <c r="D37" s="313">
        <v>390814.3</v>
      </c>
      <c r="E37" s="309">
        <v>16525</v>
      </c>
      <c r="F37" s="313">
        <v>41478.379999999997</v>
      </c>
      <c r="G37" s="323">
        <v>41307</v>
      </c>
      <c r="H37" s="315">
        <v>77355</v>
      </c>
      <c r="I37" s="313">
        <v>424832</v>
      </c>
      <c r="J37" s="315">
        <v>339103.59</v>
      </c>
      <c r="K37" s="315">
        <v>134372</v>
      </c>
      <c r="L37" s="315">
        <v>143321.82</v>
      </c>
      <c r="M37" s="326">
        <v>237243</v>
      </c>
      <c r="N37" s="326">
        <v>517812.85000000003</v>
      </c>
      <c r="O37" s="315">
        <v>49513</v>
      </c>
      <c r="P37" s="1030">
        <v>42958.33</v>
      </c>
      <c r="Q37" s="1039">
        <v>84624</v>
      </c>
      <c r="R37" s="329">
        <v>88952.27</v>
      </c>
      <c r="S37" s="315">
        <v>149979</v>
      </c>
      <c r="T37" s="315">
        <v>171882</v>
      </c>
      <c r="U37" s="315">
        <v>45673</v>
      </c>
      <c r="V37" s="315">
        <v>38420.81</v>
      </c>
      <c r="W37" s="315">
        <v>1530100</v>
      </c>
      <c r="X37" s="315">
        <v>1490083.8400000001</v>
      </c>
      <c r="Y37" s="315">
        <v>1005803</v>
      </c>
      <c r="Z37" s="315">
        <v>946200.12</v>
      </c>
      <c r="AA37" s="332">
        <v>75191</v>
      </c>
      <c r="AB37" s="332">
        <v>149322.17000000001</v>
      </c>
      <c r="AC37" s="315">
        <v>-4886</v>
      </c>
      <c r="AD37" s="315">
        <v>-11442.960000000001</v>
      </c>
      <c r="AE37" s="315">
        <v>312486</v>
      </c>
      <c r="AF37" s="315">
        <v>241521.2</v>
      </c>
      <c r="AG37" s="315">
        <v>746856</v>
      </c>
      <c r="AH37" s="315">
        <v>1310680.72</v>
      </c>
      <c r="AI37" s="315">
        <v>278561</v>
      </c>
      <c r="AJ37" s="315">
        <v>389996.02</v>
      </c>
      <c r="AK37" s="315">
        <v>218456</v>
      </c>
      <c r="AL37" s="315">
        <v>302763.03999999998</v>
      </c>
      <c r="AM37" s="335"/>
      <c r="AN37" s="335"/>
      <c r="AO37" s="714">
        <v>1297964</v>
      </c>
      <c r="AP37" s="714">
        <v>1167314.1200000001</v>
      </c>
      <c r="AQ37" s="315">
        <v>84010</v>
      </c>
      <c r="AR37" s="315">
        <v>82472.28</v>
      </c>
      <c r="AS37" s="333">
        <v>203416</v>
      </c>
      <c r="AT37" s="333">
        <v>123285.59</v>
      </c>
      <c r="AU37" s="315">
        <v>440160</v>
      </c>
      <c r="AV37" s="315">
        <v>578795.28</v>
      </c>
      <c r="AW37" s="323">
        <v>23866709</v>
      </c>
      <c r="AX37" s="522">
        <v>25583258.170000002</v>
      </c>
    </row>
    <row r="38" spans="1:50" x14ac:dyDescent="0.3">
      <c r="A38" s="262" t="s">
        <v>170</v>
      </c>
      <c r="B38" s="321"/>
      <c r="C38" s="309">
        <v>-19618</v>
      </c>
      <c r="D38" s="313">
        <v>-8424.86</v>
      </c>
      <c r="E38" s="309">
        <v>-3423</v>
      </c>
      <c r="F38" s="313">
        <v>-1783.47</v>
      </c>
      <c r="G38" s="323">
        <v>-2960</v>
      </c>
      <c r="H38" s="315">
        <v>-448</v>
      </c>
      <c r="I38" s="313">
        <v>-6506</v>
      </c>
      <c r="J38" s="315">
        <v>-2073.54</v>
      </c>
      <c r="K38" s="315">
        <v>-1109</v>
      </c>
      <c r="L38" s="315">
        <v>-302.93</v>
      </c>
      <c r="M38" s="326">
        <v>427</v>
      </c>
      <c r="N38" s="326">
        <v>-9035.61</v>
      </c>
      <c r="O38" s="315">
        <v>207</v>
      </c>
      <c r="P38" s="1030">
        <v>2097.8000000000002</v>
      </c>
      <c r="Q38" s="1039">
        <v>-492</v>
      </c>
      <c r="R38" s="329">
        <v>-1588.67</v>
      </c>
      <c r="S38" s="315">
        <v>-9053</v>
      </c>
      <c r="T38" s="315">
        <v>-1453.3500000000001</v>
      </c>
      <c r="U38" s="315">
        <v>-2284</v>
      </c>
      <c r="V38" s="315">
        <v>1151.21</v>
      </c>
      <c r="W38" s="315">
        <v>-96527</v>
      </c>
      <c r="X38" s="315">
        <v>-81243.27</v>
      </c>
      <c r="Y38" s="315">
        <v>-50325</v>
      </c>
      <c r="Z38" s="315">
        <v>-163424.23000000001</v>
      </c>
      <c r="AA38" s="332">
        <v>-471</v>
      </c>
      <c r="AB38" s="332">
        <v>135.26</v>
      </c>
      <c r="AC38" s="315"/>
      <c r="AD38" s="315">
        <v>0</v>
      </c>
      <c r="AE38" s="315">
        <v>-26765</v>
      </c>
      <c r="AF38" s="315">
        <v>-5899.86</v>
      </c>
      <c r="AG38" s="315">
        <v>-6848</v>
      </c>
      <c r="AH38" s="315">
        <v>-10361.120000000001</v>
      </c>
      <c r="AI38" s="315">
        <v>-10268</v>
      </c>
      <c r="AJ38" s="315">
        <v>-21226.68</v>
      </c>
      <c r="AK38" s="315"/>
      <c r="AL38" s="315">
        <v>0</v>
      </c>
      <c r="AM38" s="335"/>
      <c r="AN38" s="335"/>
      <c r="AO38" s="714">
        <v>-11203</v>
      </c>
      <c r="AP38" s="714">
        <v>-9400.93</v>
      </c>
      <c r="AQ38" s="315"/>
      <c r="AR38" s="315">
        <v>0</v>
      </c>
      <c r="AS38" s="333">
        <v>-6965</v>
      </c>
      <c r="AT38" s="333">
        <v>-3859.15</v>
      </c>
      <c r="AU38" s="315">
        <v>-6994</v>
      </c>
      <c r="AV38" s="315">
        <v>-31763.22</v>
      </c>
      <c r="AW38" s="323"/>
      <c r="AX38" s="522"/>
    </row>
    <row r="39" spans="1:50" x14ac:dyDescent="0.3">
      <c r="A39" s="262" t="s">
        <v>171</v>
      </c>
      <c r="B39" s="321"/>
      <c r="C39" s="309"/>
      <c r="D39" s="313">
        <v>0</v>
      </c>
      <c r="E39" s="309"/>
      <c r="F39" s="313">
        <v>0</v>
      </c>
      <c r="G39" s="323"/>
      <c r="H39" s="315"/>
      <c r="I39" s="313"/>
      <c r="J39" s="315">
        <v>0</v>
      </c>
      <c r="K39" s="315"/>
      <c r="L39" s="315">
        <v>0</v>
      </c>
      <c r="M39" s="326"/>
      <c r="N39" s="326">
        <v>0</v>
      </c>
      <c r="O39" s="315"/>
      <c r="P39" s="1030">
        <v>0</v>
      </c>
      <c r="Q39" s="1039"/>
      <c r="R39" s="329">
        <v>0</v>
      </c>
      <c r="S39" s="315"/>
      <c r="T39" s="315">
        <v>0</v>
      </c>
      <c r="U39" s="315"/>
      <c r="V39" s="315">
        <v>0</v>
      </c>
      <c r="W39" s="315"/>
      <c r="X39" s="315">
        <v>0</v>
      </c>
      <c r="Y39" s="315">
        <v>-5</v>
      </c>
      <c r="Z39" s="315">
        <v>0</v>
      </c>
      <c r="AA39" s="332"/>
      <c r="AB39" s="332">
        <v>0</v>
      </c>
      <c r="AC39" s="315"/>
      <c r="AD39" s="315">
        <v>0</v>
      </c>
      <c r="AE39" s="315"/>
      <c r="AF39" s="315">
        <v>0</v>
      </c>
      <c r="AG39" s="315"/>
      <c r="AH39" s="315">
        <v>0</v>
      </c>
      <c r="AI39" s="315"/>
      <c r="AJ39" s="315">
        <v>0</v>
      </c>
      <c r="AK39" s="315"/>
      <c r="AL39" s="315">
        <v>0</v>
      </c>
      <c r="AM39" s="335"/>
      <c r="AN39" s="335"/>
      <c r="AO39" s="714"/>
      <c r="AP39" s="715">
        <v>0</v>
      </c>
      <c r="AQ39" s="315"/>
      <c r="AR39" s="315">
        <v>0</v>
      </c>
      <c r="AS39" s="333"/>
      <c r="AT39" s="333">
        <v>0</v>
      </c>
      <c r="AU39" s="315"/>
      <c r="AV39" s="315"/>
      <c r="AW39" s="323"/>
      <c r="AX39" s="522"/>
    </row>
    <row r="40" spans="1:50" x14ac:dyDescent="0.3">
      <c r="A40" s="262" t="s">
        <v>172</v>
      </c>
      <c r="B40" s="321"/>
      <c r="C40" s="309">
        <v>197102</v>
      </c>
      <c r="D40" s="313">
        <v>469176.44</v>
      </c>
      <c r="E40" s="309"/>
      <c r="F40" s="313">
        <v>0</v>
      </c>
      <c r="G40" s="323"/>
      <c r="H40" s="315"/>
      <c r="I40" s="313">
        <v>439146</v>
      </c>
      <c r="J40" s="315">
        <v>745413.04</v>
      </c>
      <c r="K40" s="315"/>
      <c r="L40" s="315">
        <v>0</v>
      </c>
      <c r="M40" s="326">
        <v>123568</v>
      </c>
      <c r="N40" s="326">
        <v>0</v>
      </c>
      <c r="O40" s="315">
        <v>39</v>
      </c>
      <c r="P40" s="1030">
        <v>0</v>
      </c>
      <c r="Q40" s="1039"/>
      <c r="R40" s="329">
        <v>0</v>
      </c>
      <c r="S40" s="315"/>
      <c r="T40" s="315">
        <v>0</v>
      </c>
      <c r="U40" s="315">
        <v>2582</v>
      </c>
      <c r="V40" s="315">
        <v>0</v>
      </c>
      <c r="W40" s="315">
        <v>666721</v>
      </c>
      <c r="X40" s="315">
        <v>1864435.6300000001</v>
      </c>
      <c r="Y40" s="315">
        <v>1348423</v>
      </c>
      <c r="Z40" s="315">
        <v>3545373.39</v>
      </c>
      <c r="AA40" s="332">
        <v>56933</v>
      </c>
      <c r="AB40" s="332">
        <v>0</v>
      </c>
      <c r="AC40" s="315">
        <v>77414</v>
      </c>
      <c r="AD40" s="315">
        <v>141845.66</v>
      </c>
      <c r="AE40" s="315"/>
      <c r="AF40" s="315">
        <v>0</v>
      </c>
      <c r="AG40" s="315">
        <v>316417</v>
      </c>
      <c r="AH40" s="315">
        <v>0</v>
      </c>
      <c r="AI40" s="315"/>
      <c r="AJ40" s="315">
        <v>0</v>
      </c>
      <c r="AK40" s="315"/>
      <c r="AL40" s="315">
        <v>0</v>
      </c>
      <c r="AM40" s="335"/>
      <c r="AN40" s="335"/>
      <c r="AO40" s="714">
        <v>1866327</v>
      </c>
      <c r="AP40" s="714">
        <v>2904933.8000000003</v>
      </c>
      <c r="AQ40" s="315">
        <v>-568</v>
      </c>
      <c r="AR40" s="315"/>
      <c r="AS40" s="333"/>
      <c r="AT40" s="333"/>
      <c r="AU40" s="315"/>
      <c r="AV40" s="315"/>
      <c r="AW40" s="323"/>
      <c r="AX40" s="522"/>
    </row>
    <row r="41" spans="1:50" ht="17.25" x14ac:dyDescent="0.35">
      <c r="A41" s="262" t="s">
        <v>173</v>
      </c>
      <c r="B41" s="321"/>
      <c r="C41" s="309">
        <v>31148</v>
      </c>
      <c r="D41" s="314">
        <v>23879.08</v>
      </c>
      <c r="E41" s="309"/>
      <c r="F41" s="314">
        <v>0</v>
      </c>
      <c r="G41" s="324">
        <v>558</v>
      </c>
      <c r="H41" s="316">
        <v>4727</v>
      </c>
      <c r="I41" s="313">
        <v>8761</v>
      </c>
      <c r="J41" s="316">
        <v>55597.23</v>
      </c>
      <c r="K41" s="315"/>
      <c r="L41" s="316">
        <v>0</v>
      </c>
      <c r="M41" s="326">
        <v>5093</v>
      </c>
      <c r="N41" s="327">
        <v>0</v>
      </c>
      <c r="O41" s="315">
        <v>411</v>
      </c>
      <c r="P41" s="1032">
        <v>0</v>
      </c>
      <c r="Q41" s="1039"/>
      <c r="R41" s="330">
        <v>0</v>
      </c>
      <c r="S41" s="315">
        <v>39</v>
      </c>
      <c r="T41" s="316">
        <v>0</v>
      </c>
      <c r="U41" s="315">
        <v>3482</v>
      </c>
      <c r="V41" s="316">
        <v>0</v>
      </c>
      <c r="W41" s="315">
        <v>52498</v>
      </c>
      <c r="X41" s="316">
        <v>47418.81</v>
      </c>
      <c r="Y41" s="315">
        <v>19843</v>
      </c>
      <c r="Z41" s="316">
        <v>190600.04</v>
      </c>
      <c r="AA41" s="332">
        <v>4244</v>
      </c>
      <c r="AB41" s="332">
        <v>0</v>
      </c>
      <c r="AC41" s="315">
        <v>10206</v>
      </c>
      <c r="AD41" s="316">
        <v>8705.7999999999993</v>
      </c>
      <c r="AE41" s="315">
        <v>10676</v>
      </c>
      <c r="AF41" s="334">
        <v>0</v>
      </c>
      <c r="AG41" s="315">
        <v>87909</v>
      </c>
      <c r="AH41" s="316">
        <v>91152.87</v>
      </c>
      <c r="AI41" s="315">
        <v>25044</v>
      </c>
      <c r="AJ41" s="316">
        <v>0</v>
      </c>
      <c r="AK41" s="315"/>
      <c r="AL41" s="316">
        <v>0</v>
      </c>
      <c r="AM41" s="335"/>
      <c r="AN41" s="335"/>
      <c r="AO41" s="714">
        <v>133870</v>
      </c>
      <c r="AP41" s="714">
        <v>185639.86000000002</v>
      </c>
      <c r="AQ41" s="315">
        <v>214</v>
      </c>
      <c r="AR41" s="315"/>
      <c r="AS41" s="315">
        <v>4518</v>
      </c>
      <c r="AT41" s="333">
        <v>1620.1100000000001</v>
      </c>
      <c r="AU41" s="316">
        <v>30922</v>
      </c>
      <c r="AV41" s="315"/>
      <c r="AW41" s="324">
        <v>2540</v>
      </c>
      <c r="AX41" s="522">
        <v>91.2</v>
      </c>
    </row>
    <row r="42" spans="1:50" ht="17.25" x14ac:dyDescent="0.35">
      <c r="A42" s="262" t="s">
        <v>200</v>
      </c>
      <c r="B42" s="321"/>
      <c r="C42" s="309"/>
      <c r="D42" s="314">
        <v>0</v>
      </c>
      <c r="E42" s="309">
        <v>7860</v>
      </c>
      <c r="F42" s="314">
        <v>0</v>
      </c>
      <c r="G42" s="324">
        <v>25980</v>
      </c>
      <c r="H42" s="316">
        <v>34659</v>
      </c>
      <c r="I42" s="313"/>
      <c r="J42" s="316">
        <v>0</v>
      </c>
      <c r="K42" s="315"/>
      <c r="L42" s="316">
        <v>0</v>
      </c>
      <c r="M42" s="326"/>
      <c r="N42" s="327">
        <v>0</v>
      </c>
      <c r="O42" s="315"/>
      <c r="P42" s="1032">
        <v>0</v>
      </c>
      <c r="Q42" s="1039"/>
      <c r="R42" s="330">
        <v>0</v>
      </c>
      <c r="S42" s="315">
        <v>15666</v>
      </c>
      <c r="T42" s="316">
        <v>0</v>
      </c>
      <c r="U42" s="315"/>
      <c r="V42" s="316">
        <v>0</v>
      </c>
      <c r="W42" s="315"/>
      <c r="X42" s="316">
        <v>0</v>
      </c>
      <c r="Y42" s="315"/>
      <c r="Z42" s="316">
        <v>0</v>
      </c>
      <c r="AA42" s="332"/>
      <c r="AB42" s="332">
        <v>0</v>
      </c>
      <c r="AC42" s="315"/>
      <c r="AD42" s="316">
        <v>0</v>
      </c>
      <c r="AE42" s="315">
        <v>272986</v>
      </c>
      <c r="AF42" s="334">
        <v>456012.3</v>
      </c>
      <c r="AG42" s="315"/>
      <c r="AH42" s="316">
        <v>0</v>
      </c>
      <c r="AI42" s="315">
        <v>67747</v>
      </c>
      <c r="AJ42" s="316">
        <v>0</v>
      </c>
      <c r="AK42" s="315"/>
      <c r="AL42" s="316">
        <v>0</v>
      </c>
      <c r="AM42" s="335"/>
      <c r="AN42" s="335"/>
      <c r="AO42" s="714"/>
      <c r="AP42" s="714">
        <v>0</v>
      </c>
      <c r="AQ42" s="315"/>
      <c r="AR42" s="315"/>
      <c r="AS42" s="315">
        <v>10306</v>
      </c>
      <c r="AT42" s="333">
        <v>52093.020000000004</v>
      </c>
      <c r="AU42" s="316">
        <v>313712</v>
      </c>
      <c r="AV42" s="315"/>
      <c r="AW42" s="324">
        <v>-952785</v>
      </c>
      <c r="AX42" s="522">
        <v>312398.74</v>
      </c>
    </row>
    <row r="43" spans="1:50" ht="17.25" x14ac:dyDescent="0.35">
      <c r="A43" s="262" t="s">
        <v>201</v>
      </c>
      <c r="B43" s="321"/>
      <c r="C43" s="309"/>
      <c r="D43" s="314">
        <v>0</v>
      </c>
      <c r="E43" s="309"/>
      <c r="F43" s="314">
        <v>0</v>
      </c>
      <c r="G43" s="324"/>
      <c r="H43" s="316"/>
      <c r="I43" s="313">
        <v>-126</v>
      </c>
      <c r="J43" s="316">
        <v>209.29</v>
      </c>
      <c r="K43" s="315"/>
      <c r="L43" s="316">
        <v>0</v>
      </c>
      <c r="M43" s="326"/>
      <c r="N43" s="327">
        <v>0</v>
      </c>
      <c r="O43" s="315"/>
      <c r="P43" s="1032">
        <v>0</v>
      </c>
      <c r="Q43" s="1039"/>
      <c r="R43" s="330">
        <v>0</v>
      </c>
      <c r="S43" s="315"/>
      <c r="T43" s="316">
        <v>0</v>
      </c>
      <c r="U43" s="315"/>
      <c r="V43" s="316">
        <v>0</v>
      </c>
      <c r="W43" s="315"/>
      <c r="X43" s="316">
        <v>0</v>
      </c>
      <c r="Y43" s="315"/>
      <c r="Z43" s="316">
        <v>0</v>
      </c>
      <c r="AA43" s="332"/>
      <c r="AB43" s="332">
        <v>0</v>
      </c>
      <c r="AC43" s="315"/>
      <c r="AD43" s="316">
        <v>0</v>
      </c>
      <c r="AE43" s="315"/>
      <c r="AF43" s="334">
        <v>0</v>
      </c>
      <c r="AG43" s="315"/>
      <c r="AH43" s="316">
        <v>0</v>
      </c>
      <c r="AI43" s="315"/>
      <c r="AJ43" s="316">
        <v>0</v>
      </c>
      <c r="AK43" s="315"/>
      <c r="AL43" s="316">
        <v>0</v>
      </c>
      <c r="AM43" s="335"/>
      <c r="AN43" s="335"/>
      <c r="AO43" s="714"/>
      <c r="AP43" s="714">
        <v>0</v>
      </c>
      <c r="AQ43" s="315"/>
      <c r="AR43" s="315"/>
      <c r="AS43" s="315"/>
      <c r="AT43" s="333"/>
      <c r="AU43" s="316"/>
      <c r="AV43" s="315"/>
      <c r="AW43" s="324"/>
      <c r="AX43" s="522"/>
    </row>
    <row r="44" spans="1:50" ht="17.25" x14ac:dyDescent="0.35">
      <c r="A44" s="262" t="s">
        <v>215</v>
      </c>
      <c r="B44" s="321"/>
      <c r="C44" s="309"/>
      <c r="D44" s="314">
        <v>0</v>
      </c>
      <c r="E44" s="309"/>
      <c r="F44" s="314">
        <v>0</v>
      </c>
      <c r="G44" s="324"/>
      <c r="H44" s="316"/>
      <c r="I44" s="313"/>
      <c r="J44" s="316">
        <v>0</v>
      </c>
      <c r="K44" s="315"/>
      <c r="L44" s="316">
        <v>0</v>
      </c>
      <c r="M44" s="326"/>
      <c r="N44" s="327">
        <v>0</v>
      </c>
      <c r="O44" s="315"/>
      <c r="P44" s="1032">
        <v>0</v>
      </c>
      <c r="Q44" s="1039"/>
      <c r="R44" s="330">
        <v>0</v>
      </c>
      <c r="S44" s="315"/>
      <c r="T44" s="316">
        <v>0</v>
      </c>
      <c r="U44" s="315"/>
      <c r="V44" s="316">
        <v>0</v>
      </c>
      <c r="W44" s="315"/>
      <c r="X44" s="316">
        <v>0</v>
      </c>
      <c r="Y44" s="315"/>
      <c r="Z44" s="316">
        <v>0</v>
      </c>
      <c r="AA44" s="332"/>
      <c r="AB44" s="332">
        <v>0</v>
      </c>
      <c r="AC44" s="315"/>
      <c r="AD44" s="316">
        <v>0</v>
      </c>
      <c r="AE44" s="315"/>
      <c r="AF44" s="334">
        <v>0</v>
      </c>
      <c r="AG44" s="315"/>
      <c r="AH44" s="316">
        <v>0</v>
      </c>
      <c r="AI44" s="315"/>
      <c r="AJ44" s="316">
        <v>0</v>
      </c>
      <c r="AK44" s="315"/>
      <c r="AL44" s="316">
        <v>0</v>
      </c>
      <c r="AM44" s="335"/>
      <c r="AN44" s="335"/>
      <c r="AO44" s="714"/>
      <c r="AP44" s="714">
        <v>0</v>
      </c>
      <c r="AQ44" s="315"/>
      <c r="AR44" s="315"/>
      <c r="AS44" s="315"/>
      <c r="AT44" s="333"/>
      <c r="AU44" s="316"/>
      <c r="AV44" s="315"/>
      <c r="AW44" s="324"/>
      <c r="AX44" s="522"/>
    </row>
    <row r="45" spans="1:50" s="570" customFormat="1" ht="18" x14ac:dyDescent="0.35">
      <c r="A45" s="561" t="s">
        <v>174</v>
      </c>
      <c r="B45" s="562"/>
      <c r="C45" s="1003">
        <v>1093221</v>
      </c>
      <c r="D45" s="563">
        <v>1177263.6100000001</v>
      </c>
      <c r="E45" s="1003">
        <v>48923</v>
      </c>
      <c r="F45" s="563">
        <v>57889.770000000004</v>
      </c>
      <c r="G45" s="565">
        <v>146412</v>
      </c>
      <c r="H45" s="564">
        <v>178022</v>
      </c>
      <c r="I45" s="563">
        <v>1500991</v>
      </c>
      <c r="J45" s="564">
        <v>1528602.44</v>
      </c>
      <c r="K45" s="564">
        <v>192767</v>
      </c>
      <c r="L45" s="564">
        <v>179453.62</v>
      </c>
      <c r="M45" s="566">
        <v>560367</v>
      </c>
      <c r="N45" s="566">
        <v>629098.34</v>
      </c>
      <c r="O45" s="564">
        <v>88227</v>
      </c>
      <c r="P45" s="1031">
        <v>69451.72</v>
      </c>
      <c r="Q45" s="1040">
        <v>104774</v>
      </c>
      <c r="R45" s="567">
        <v>97136.28</v>
      </c>
      <c r="S45" s="564">
        <v>300453</v>
      </c>
      <c r="T45" s="564">
        <v>279268.93</v>
      </c>
      <c r="U45" s="564">
        <v>86536</v>
      </c>
      <c r="V45" s="564">
        <v>75444.58</v>
      </c>
      <c r="W45" s="564">
        <v>4372841</v>
      </c>
      <c r="X45" s="564">
        <v>4694415.6100000003</v>
      </c>
      <c r="Y45" s="564">
        <v>4459245</v>
      </c>
      <c r="Z45" s="564">
        <v>5951076.04</v>
      </c>
      <c r="AA45" s="579">
        <v>211463</v>
      </c>
      <c r="AB45" s="568">
        <v>210135.84</v>
      </c>
      <c r="AC45" s="564">
        <v>424613</v>
      </c>
      <c r="AD45" s="564">
        <v>412188.81</v>
      </c>
      <c r="AE45" s="564">
        <v>982177</v>
      </c>
      <c r="AF45" s="564">
        <v>956624.06</v>
      </c>
      <c r="AG45" s="564">
        <v>1839712</v>
      </c>
      <c r="AH45" s="564">
        <v>1856711.53</v>
      </c>
      <c r="AI45" s="564">
        <v>582757</v>
      </c>
      <c r="AJ45" s="564">
        <v>546566.30000000005</v>
      </c>
      <c r="AK45" s="564">
        <v>450196</v>
      </c>
      <c r="AL45" s="564">
        <v>476774.2</v>
      </c>
      <c r="AM45" s="569"/>
      <c r="AN45" s="569"/>
      <c r="AO45" s="716">
        <v>5683624</v>
      </c>
      <c r="AP45" s="716">
        <v>5640785.4800000004</v>
      </c>
      <c r="AQ45" s="564">
        <v>146930</v>
      </c>
      <c r="AR45" s="564">
        <v>117152.06</v>
      </c>
      <c r="AS45" s="568">
        <v>316672</v>
      </c>
      <c r="AT45" s="568">
        <v>249965.49</v>
      </c>
      <c r="AU45" s="564">
        <v>1088514</v>
      </c>
      <c r="AV45" s="564">
        <v>1207724.4000000001</v>
      </c>
      <c r="AW45" s="565">
        <v>46578420</v>
      </c>
      <c r="AX45" s="1002">
        <v>4970718.3</v>
      </c>
    </row>
    <row r="46" spans="1:50" s="570" customFormat="1" ht="18" x14ac:dyDescent="0.35">
      <c r="A46" s="561" t="s">
        <v>175</v>
      </c>
      <c r="B46" s="562"/>
      <c r="C46" s="1003">
        <v>12825</v>
      </c>
      <c r="D46" s="563">
        <v>10961.12</v>
      </c>
      <c r="E46" s="1003">
        <v>-3274</v>
      </c>
      <c r="F46" s="563">
        <v>2646.69</v>
      </c>
      <c r="G46" s="565">
        <v>4821</v>
      </c>
      <c r="H46" s="564">
        <v>1621</v>
      </c>
      <c r="I46" s="563">
        <v>-16292</v>
      </c>
      <c r="J46" s="564">
        <v>44406.36</v>
      </c>
      <c r="K46" s="564">
        <v>-24024</v>
      </c>
      <c r="L46" s="564">
        <v>-7828.18</v>
      </c>
      <c r="M46" s="566">
        <v>-12575</v>
      </c>
      <c r="N46" s="566">
        <v>16523.330000000002</v>
      </c>
      <c r="O46" s="564">
        <v>-2874</v>
      </c>
      <c r="P46" s="1031">
        <v>15310.49</v>
      </c>
      <c r="Q46" s="1040">
        <v>231</v>
      </c>
      <c r="R46" s="567">
        <v>484.8</v>
      </c>
      <c r="S46" s="564">
        <v>2331</v>
      </c>
      <c r="T46" s="564">
        <v>3392.48</v>
      </c>
      <c r="U46" s="564"/>
      <c r="V46" s="564">
        <v>0</v>
      </c>
      <c r="W46" s="564">
        <v>40731</v>
      </c>
      <c r="X46" s="564">
        <v>66445.399999999994</v>
      </c>
      <c r="Y46" s="564">
        <v>111976</v>
      </c>
      <c r="Z46" s="564">
        <v>165701.82</v>
      </c>
      <c r="AA46" s="579">
        <v>8758</v>
      </c>
      <c r="AB46" s="568">
        <v>11106.85</v>
      </c>
      <c r="AC46" s="564">
        <v>27045</v>
      </c>
      <c r="AD46" s="564">
        <v>8982.31</v>
      </c>
      <c r="AE46" s="564">
        <v>1966</v>
      </c>
      <c r="AF46" s="564">
        <v>43257.55</v>
      </c>
      <c r="AG46" s="564">
        <v>27092</v>
      </c>
      <c r="AH46" s="564">
        <v>-898.29</v>
      </c>
      <c r="AI46" s="564">
        <v>22894</v>
      </c>
      <c r="AJ46" s="564">
        <v>20250.34</v>
      </c>
      <c r="AK46" s="564">
        <v>4747</v>
      </c>
      <c r="AL46" s="564">
        <v>3675.21</v>
      </c>
      <c r="AM46" s="569"/>
      <c r="AN46" s="569"/>
      <c r="AO46" s="716">
        <v>60539</v>
      </c>
      <c r="AP46" s="716">
        <v>129969.33</v>
      </c>
      <c r="AQ46" s="564">
        <v>-9368</v>
      </c>
      <c r="AR46" s="564">
        <v>4417.21</v>
      </c>
      <c r="AS46" s="568">
        <v>-9802</v>
      </c>
      <c r="AT46" s="568">
        <v>4446.38</v>
      </c>
      <c r="AU46" s="564">
        <v>23043</v>
      </c>
      <c r="AV46" s="564">
        <v>39400.129999999997</v>
      </c>
      <c r="AW46" s="565">
        <v>159401</v>
      </c>
      <c r="AX46" s="1002"/>
    </row>
    <row r="47" spans="1:50" ht="17.25" x14ac:dyDescent="0.35">
      <c r="A47" s="317" t="s">
        <v>209</v>
      </c>
      <c r="B47" s="321"/>
      <c r="C47" s="309"/>
      <c r="D47" s="314">
        <v>0</v>
      </c>
      <c r="E47" s="309"/>
      <c r="F47" s="314">
        <v>0</v>
      </c>
      <c r="G47" s="323"/>
      <c r="H47" s="315"/>
      <c r="I47" s="313"/>
      <c r="J47" s="315">
        <v>618.80000000000007</v>
      </c>
      <c r="K47" s="315"/>
      <c r="L47" s="315">
        <v>0</v>
      </c>
      <c r="M47" s="326"/>
      <c r="N47" s="326">
        <v>0</v>
      </c>
      <c r="O47" s="315"/>
      <c r="P47" s="1030">
        <v>0</v>
      </c>
      <c r="Q47" s="1039"/>
      <c r="R47" s="330">
        <v>0</v>
      </c>
      <c r="S47" s="315"/>
      <c r="T47" s="315">
        <v>0</v>
      </c>
      <c r="U47" s="315"/>
      <c r="V47" s="315">
        <v>0</v>
      </c>
      <c r="W47" s="315"/>
      <c r="X47" s="315">
        <v>0</v>
      </c>
      <c r="Y47" s="315">
        <v>-7348</v>
      </c>
      <c r="Z47" s="315">
        <v>-8217.61</v>
      </c>
      <c r="AA47" s="332">
        <v>603</v>
      </c>
      <c r="AB47" s="333">
        <v>621.06000000000006</v>
      </c>
      <c r="AC47" s="315"/>
      <c r="AD47" s="315">
        <v>0</v>
      </c>
      <c r="AE47" s="315"/>
      <c r="AF47" s="315">
        <v>0</v>
      </c>
      <c r="AG47" s="315"/>
      <c r="AH47" s="315">
        <v>0</v>
      </c>
      <c r="AI47" s="315"/>
      <c r="AJ47" s="315">
        <v>0</v>
      </c>
      <c r="AK47" s="315"/>
      <c r="AL47" s="315">
        <v>0</v>
      </c>
      <c r="AM47" s="335"/>
      <c r="AN47" s="335"/>
      <c r="AO47" s="714"/>
      <c r="AP47" s="718">
        <v>0</v>
      </c>
      <c r="AQ47" s="315"/>
      <c r="AR47" s="315"/>
      <c r="AS47" s="333"/>
      <c r="AT47" s="333"/>
      <c r="AU47" s="315"/>
      <c r="AV47" s="315"/>
      <c r="AW47" s="323"/>
      <c r="AX47" s="522"/>
    </row>
    <row r="48" spans="1:50" x14ac:dyDescent="0.3">
      <c r="A48" s="317" t="s">
        <v>176</v>
      </c>
      <c r="B48" s="321"/>
      <c r="C48" s="309"/>
      <c r="D48" s="313">
        <v>0</v>
      </c>
      <c r="E48" s="309"/>
      <c r="F48" s="313">
        <v>0</v>
      </c>
      <c r="G48" s="323"/>
      <c r="H48" s="315"/>
      <c r="I48" s="313"/>
      <c r="J48" s="315">
        <v>0</v>
      </c>
      <c r="K48" s="315"/>
      <c r="L48" s="315">
        <v>0</v>
      </c>
      <c r="M48" s="326"/>
      <c r="N48" s="326">
        <v>0</v>
      </c>
      <c r="O48" s="315"/>
      <c r="P48" s="1030">
        <v>0</v>
      </c>
      <c r="Q48" s="1039"/>
      <c r="R48" s="329">
        <v>0</v>
      </c>
      <c r="S48" s="315"/>
      <c r="T48" s="315">
        <v>0</v>
      </c>
      <c r="U48" s="315"/>
      <c r="V48" s="315">
        <v>0</v>
      </c>
      <c r="W48" s="315"/>
      <c r="X48" s="315">
        <v>0</v>
      </c>
      <c r="Y48" s="315"/>
      <c r="Z48" s="315">
        <v>0</v>
      </c>
      <c r="AA48" s="332"/>
      <c r="AB48" s="333">
        <v>0</v>
      </c>
      <c r="AC48" s="315"/>
      <c r="AD48" s="315">
        <v>0</v>
      </c>
      <c r="AE48" s="315"/>
      <c r="AF48" s="315">
        <v>0</v>
      </c>
      <c r="AG48" s="315"/>
      <c r="AH48" s="315">
        <v>0</v>
      </c>
      <c r="AI48" s="315"/>
      <c r="AJ48" s="315">
        <v>0</v>
      </c>
      <c r="AK48" s="315"/>
      <c r="AL48" s="315">
        <v>0</v>
      </c>
      <c r="AM48" s="335"/>
      <c r="AN48" s="335"/>
      <c r="AO48" s="714"/>
      <c r="AP48" s="715">
        <v>0</v>
      </c>
      <c r="AQ48" s="315"/>
      <c r="AR48" s="315"/>
      <c r="AS48" s="333"/>
      <c r="AT48" s="333"/>
      <c r="AU48" s="315"/>
      <c r="AV48" s="315"/>
      <c r="AW48" s="323"/>
      <c r="AX48" s="522"/>
    </row>
    <row r="49" spans="1:50" x14ac:dyDescent="0.3">
      <c r="A49" s="317" t="s">
        <v>204</v>
      </c>
      <c r="B49" s="321"/>
      <c r="C49" s="309"/>
      <c r="D49" s="313">
        <v>0</v>
      </c>
      <c r="E49" s="309"/>
      <c r="F49" s="313">
        <v>0</v>
      </c>
      <c r="G49" s="323"/>
      <c r="H49" s="315"/>
      <c r="I49" s="313"/>
      <c r="J49" s="315">
        <v>0</v>
      </c>
      <c r="K49" s="315"/>
      <c r="L49" s="315">
        <v>0</v>
      </c>
      <c r="M49" s="326"/>
      <c r="N49" s="326">
        <v>0</v>
      </c>
      <c r="O49" s="315"/>
      <c r="P49" s="1030">
        <v>0</v>
      </c>
      <c r="Q49" s="1039"/>
      <c r="R49" s="329">
        <v>0</v>
      </c>
      <c r="S49" s="315"/>
      <c r="T49" s="315">
        <v>0</v>
      </c>
      <c r="U49" s="315"/>
      <c r="V49" s="315">
        <v>0</v>
      </c>
      <c r="W49" s="315"/>
      <c r="X49" s="315">
        <v>0</v>
      </c>
      <c r="Y49" s="315"/>
      <c r="Z49" s="315">
        <v>0</v>
      </c>
      <c r="AA49" s="332"/>
      <c r="AB49" s="333">
        <v>0</v>
      </c>
      <c r="AC49" s="315"/>
      <c r="AD49" s="315">
        <v>0</v>
      </c>
      <c r="AE49" s="315"/>
      <c r="AF49" s="315">
        <v>0</v>
      </c>
      <c r="AG49" s="315"/>
      <c r="AH49" s="315">
        <v>0</v>
      </c>
      <c r="AI49" s="315"/>
      <c r="AJ49" s="315">
        <v>0</v>
      </c>
      <c r="AK49" s="315"/>
      <c r="AL49" s="315">
        <v>0</v>
      </c>
      <c r="AM49" s="335"/>
      <c r="AN49" s="335"/>
      <c r="AO49" s="714"/>
      <c r="AP49" s="715">
        <v>0</v>
      </c>
      <c r="AQ49" s="315"/>
      <c r="AR49" s="315"/>
      <c r="AS49" s="333"/>
      <c r="AT49" s="333"/>
      <c r="AU49" s="315"/>
      <c r="AV49" s="315"/>
      <c r="AW49" s="323"/>
      <c r="AX49" s="522"/>
    </row>
    <row r="50" spans="1:50" x14ac:dyDescent="0.3">
      <c r="A50" s="262" t="s">
        <v>177</v>
      </c>
      <c r="B50" s="321"/>
      <c r="C50" s="309"/>
      <c r="D50" s="313">
        <v>0</v>
      </c>
      <c r="E50" s="309"/>
      <c r="F50" s="313">
        <v>0</v>
      </c>
      <c r="G50" s="323"/>
      <c r="H50" s="315"/>
      <c r="I50" s="313">
        <v>32288</v>
      </c>
      <c r="J50" s="315">
        <v>0</v>
      </c>
      <c r="K50" s="315"/>
      <c r="L50" s="315">
        <v>0</v>
      </c>
      <c r="M50" s="326"/>
      <c r="N50" s="326">
        <v>0</v>
      </c>
      <c r="O50" s="315"/>
      <c r="P50" s="1030">
        <v>0</v>
      </c>
      <c r="Q50" s="1039"/>
      <c r="R50" s="329">
        <v>0</v>
      </c>
      <c r="S50" s="315"/>
      <c r="T50" s="315">
        <v>0</v>
      </c>
      <c r="U50" s="315"/>
      <c r="V50" s="315">
        <v>0</v>
      </c>
      <c r="W50" s="315"/>
      <c r="X50" s="315">
        <v>0</v>
      </c>
      <c r="Y50" s="315"/>
      <c r="Z50" s="315">
        <v>0</v>
      </c>
      <c r="AA50" s="332"/>
      <c r="AB50" s="333">
        <v>0</v>
      </c>
      <c r="AC50" s="315">
        <v>27045</v>
      </c>
      <c r="AD50" s="315">
        <v>0</v>
      </c>
      <c r="AE50" s="315"/>
      <c r="AF50" s="315">
        <v>0</v>
      </c>
      <c r="AG50" s="315">
        <v>40096</v>
      </c>
      <c r="AH50" s="315">
        <v>0</v>
      </c>
      <c r="AI50" s="315"/>
      <c r="AJ50" s="315">
        <v>0</v>
      </c>
      <c r="AK50" s="315"/>
      <c r="AL50" s="315">
        <v>0</v>
      </c>
      <c r="AM50" s="335"/>
      <c r="AN50" s="335"/>
      <c r="AO50" s="714">
        <v>60539</v>
      </c>
      <c r="AP50" s="714">
        <v>0</v>
      </c>
      <c r="AQ50" s="315"/>
      <c r="AR50" s="315"/>
      <c r="AS50" s="333"/>
      <c r="AT50" s="333"/>
      <c r="AU50" s="315"/>
      <c r="AV50" s="315">
        <v>39400.129999999997</v>
      </c>
      <c r="AW50" s="323"/>
      <c r="AX50" s="522"/>
    </row>
    <row r="51" spans="1:50" ht="17.25" x14ac:dyDescent="0.35">
      <c r="A51" s="317" t="s">
        <v>99</v>
      </c>
      <c r="B51" s="321"/>
      <c r="C51" s="309"/>
      <c r="D51" s="314">
        <v>0</v>
      </c>
      <c r="E51" s="309"/>
      <c r="F51" s="314">
        <v>0</v>
      </c>
      <c r="G51" s="324"/>
      <c r="H51" s="316"/>
      <c r="I51" s="313"/>
      <c r="J51" s="316">
        <v>0</v>
      </c>
      <c r="K51" s="315"/>
      <c r="L51" s="316">
        <v>0</v>
      </c>
      <c r="M51" s="326"/>
      <c r="N51" s="327">
        <v>0</v>
      </c>
      <c r="O51" s="315"/>
      <c r="P51" s="1032">
        <v>0</v>
      </c>
      <c r="Q51" s="1039"/>
      <c r="R51" s="330">
        <v>0</v>
      </c>
      <c r="S51" s="315"/>
      <c r="T51" s="316">
        <v>0</v>
      </c>
      <c r="U51" s="315"/>
      <c r="V51" s="316">
        <v>0</v>
      </c>
      <c r="W51" s="315"/>
      <c r="X51" s="316">
        <v>0</v>
      </c>
      <c r="Y51" s="315"/>
      <c r="Z51" s="316">
        <v>0</v>
      </c>
      <c r="AA51" s="332"/>
      <c r="AB51" s="315">
        <v>0</v>
      </c>
      <c r="AC51" s="315"/>
      <c r="AD51" s="316">
        <v>0</v>
      </c>
      <c r="AE51" s="315"/>
      <c r="AF51" s="334">
        <v>0</v>
      </c>
      <c r="AG51" s="315"/>
      <c r="AH51" s="316">
        <v>0</v>
      </c>
      <c r="AI51" s="315"/>
      <c r="AJ51" s="316">
        <v>0</v>
      </c>
      <c r="AK51" s="315"/>
      <c r="AL51" s="316">
        <v>0</v>
      </c>
      <c r="AM51" s="335"/>
      <c r="AN51" s="335"/>
      <c r="AO51" s="714"/>
      <c r="AP51" s="715">
        <v>0</v>
      </c>
      <c r="AQ51" s="315"/>
      <c r="AR51" s="315"/>
      <c r="AS51" s="315"/>
      <c r="AT51" s="333"/>
      <c r="AU51" s="316"/>
      <c r="AV51" s="315"/>
      <c r="AW51" s="324"/>
      <c r="AX51" s="522"/>
    </row>
    <row r="52" spans="1:50" x14ac:dyDescent="0.3">
      <c r="A52" s="262" t="s">
        <v>178</v>
      </c>
      <c r="B52" s="321"/>
      <c r="C52" s="309">
        <v>12822</v>
      </c>
      <c r="D52" s="313">
        <v>12111.69</v>
      </c>
      <c r="E52" s="309"/>
      <c r="F52" s="313">
        <v>0</v>
      </c>
      <c r="G52" s="323"/>
      <c r="H52" s="315"/>
      <c r="I52" s="313">
        <v>24201</v>
      </c>
      <c r="J52" s="315">
        <v>27290.05</v>
      </c>
      <c r="K52" s="315">
        <v>-26771</v>
      </c>
      <c r="L52" s="315">
        <v>-13995.24</v>
      </c>
      <c r="M52" s="326"/>
      <c r="N52" s="326">
        <v>0</v>
      </c>
      <c r="O52" s="315">
        <v>2237</v>
      </c>
      <c r="P52" s="1030">
        <v>14147.220000000001</v>
      </c>
      <c r="Q52" s="1039"/>
      <c r="R52" s="331">
        <v>0</v>
      </c>
      <c r="S52" s="315"/>
      <c r="T52" s="315">
        <v>0</v>
      </c>
      <c r="U52" s="315"/>
      <c r="V52" s="315">
        <v>0</v>
      </c>
      <c r="W52" s="315">
        <v>50932</v>
      </c>
      <c r="X52" s="315">
        <v>70430.92</v>
      </c>
      <c r="Y52" s="315">
        <v>109212</v>
      </c>
      <c r="Z52" s="315">
        <v>150929.1</v>
      </c>
      <c r="AA52" s="332"/>
      <c r="AB52" s="333">
        <v>0</v>
      </c>
      <c r="AC52" s="315">
        <v>9968</v>
      </c>
      <c r="AD52" s="315">
        <v>4735.01</v>
      </c>
      <c r="AE52" s="315">
        <v>12418</v>
      </c>
      <c r="AF52" s="315">
        <v>0</v>
      </c>
      <c r="AG52" s="315">
        <v>18881</v>
      </c>
      <c r="AH52" s="315">
        <v>31536.58</v>
      </c>
      <c r="AI52" s="315">
        <v>3370</v>
      </c>
      <c r="AJ52" s="315">
        <v>4761.87</v>
      </c>
      <c r="AK52" s="315"/>
      <c r="AL52" s="315">
        <v>0</v>
      </c>
      <c r="AM52" s="335"/>
      <c r="AN52" s="335"/>
      <c r="AO52" s="714">
        <v>26129</v>
      </c>
      <c r="AP52" s="714">
        <v>46125.23</v>
      </c>
      <c r="AQ52" s="315"/>
      <c r="AR52" s="315"/>
      <c r="AS52" s="333">
        <v>10581</v>
      </c>
      <c r="AT52" s="333">
        <v>4747.46</v>
      </c>
      <c r="AU52" s="315">
        <v>2871</v>
      </c>
      <c r="AV52" s="315">
        <v>1939.33</v>
      </c>
      <c r="AW52" s="323">
        <v>159401</v>
      </c>
      <c r="AX52" s="522"/>
    </row>
    <row r="53" spans="1:50" x14ac:dyDescent="0.3">
      <c r="A53" s="262" t="s">
        <v>198</v>
      </c>
      <c r="B53" s="321"/>
      <c r="C53" s="309"/>
      <c r="D53" s="313">
        <v>0</v>
      </c>
      <c r="E53" s="309"/>
      <c r="F53" s="313">
        <v>-326.42</v>
      </c>
      <c r="G53" s="323">
        <v>4553</v>
      </c>
      <c r="H53" s="315">
        <v>322</v>
      </c>
      <c r="I53" s="313"/>
      <c r="J53" s="315">
        <v>0</v>
      </c>
      <c r="K53" s="315"/>
      <c r="L53" s="315">
        <v>0</v>
      </c>
      <c r="M53" s="326">
        <v>7548</v>
      </c>
      <c r="N53" s="326">
        <v>14481.57</v>
      </c>
      <c r="O53" s="315"/>
      <c r="P53" s="1030">
        <v>0</v>
      </c>
      <c r="Q53" s="1039">
        <v>59</v>
      </c>
      <c r="R53" s="331">
        <v>415.98</v>
      </c>
      <c r="S53" s="315">
        <v>2331</v>
      </c>
      <c r="T53" s="315">
        <v>3392.48</v>
      </c>
      <c r="U53" s="315"/>
      <c r="V53" s="315">
        <v>0</v>
      </c>
      <c r="W53" s="315"/>
      <c r="X53" s="315">
        <v>0</v>
      </c>
      <c r="Y53" s="315"/>
      <c r="Z53" s="315">
        <v>0</v>
      </c>
      <c r="AA53" s="332">
        <v>-4273</v>
      </c>
      <c r="AB53" s="333">
        <v>-1329.6100000000001</v>
      </c>
      <c r="AC53" s="315">
        <v>-405</v>
      </c>
      <c r="AD53" s="315">
        <v>-796.38</v>
      </c>
      <c r="AE53" s="315"/>
      <c r="AF53" s="315">
        <v>0</v>
      </c>
      <c r="AG53" s="315"/>
      <c r="AH53" s="315">
        <v>0</v>
      </c>
      <c r="AI53" s="315"/>
      <c r="AJ53" s="315">
        <v>0</v>
      </c>
      <c r="AK53" s="315">
        <v>2790</v>
      </c>
      <c r="AL53" s="315">
        <v>603.24</v>
      </c>
      <c r="AM53" s="335"/>
      <c r="AN53" s="335"/>
      <c r="AO53" s="714"/>
      <c r="AP53" s="714">
        <v>0</v>
      </c>
      <c r="AQ53" s="315"/>
      <c r="AR53" s="315"/>
      <c r="AS53" s="333">
        <v>3855</v>
      </c>
      <c r="AT53" s="333">
        <v>6056.76</v>
      </c>
      <c r="AU53" s="315"/>
      <c r="AV53" s="315"/>
      <c r="AW53" s="323"/>
      <c r="AX53" s="522"/>
    </row>
    <row r="54" spans="1:50" x14ac:dyDescent="0.3">
      <c r="A54" s="262" t="s">
        <v>179</v>
      </c>
      <c r="B54" s="321"/>
      <c r="C54" s="309"/>
      <c r="D54" s="313">
        <v>0</v>
      </c>
      <c r="E54" s="309">
        <v>-7036</v>
      </c>
      <c r="F54" s="313">
        <v>0</v>
      </c>
      <c r="G54" s="323"/>
      <c r="H54" s="315"/>
      <c r="I54" s="313"/>
      <c r="J54" s="315">
        <v>0</v>
      </c>
      <c r="K54" s="315"/>
      <c r="L54" s="315">
        <v>0</v>
      </c>
      <c r="M54" s="326"/>
      <c r="N54" s="326">
        <v>0</v>
      </c>
      <c r="O54" s="315"/>
      <c r="P54" s="1030">
        <v>0</v>
      </c>
      <c r="Q54" s="1039"/>
      <c r="R54" s="331">
        <v>0</v>
      </c>
      <c r="S54" s="315"/>
      <c r="T54" s="315">
        <v>0</v>
      </c>
      <c r="U54" s="315"/>
      <c r="V54" s="315">
        <v>0</v>
      </c>
      <c r="W54" s="315"/>
      <c r="X54" s="315">
        <v>0</v>
      </c>
      <c r="Y54" s="315"/>
      <c r="Z54" s="315">
        <v>0</v>
      </c>
      <c r="AA54" s="332"/>
      <c r="AB54" s="333">
        <v>0</v>
      </c>
      <c r="AC54" s="315"/>
      <c r="AD54" s="315">
        <v>0</v>
      </c>
      <c r="AE54" s="315"/>
      <c r="AF54" s="315">
        <v>0</v>
      </c>
      <c r="AG54" s="315"/>
      <c r="AH54" s="315">
        <v>0</v>
      </c>
      <c r="AI54" s="315"/>
      <c r="AJ54" s="315">
        <v>0</v>
      </c>
      <c r="AK54" s="315"/>
      <c r="AL54" s="315">
        <v>0</v>
      </c>
      <c r="AM54" s="335"/>
      <c r="AN54" s="335"/>
      <c r="AO54" s="714"/>
      <c r="AP54" s="715">
        <v>0</v>
      </c>
      <c r="AQ54" s="315"/>
      <c r="AR54" s="315"/>
      <c r="AS54" s="333"/>
      <c r="AT54" s="333"/>
      <c r="AU54" s="315"/>
      <c r="AV54" s="315"/>
      <c r="AW54" s="323"/>
      <c r="AX54" s="522"/>
    </row>
    <row r="55" spans="1:50" x14ac:dyDescent="0.3">
      <c r="A55" s="262" t="s">
        <v>180</v>
      </c>
      <c r="B55" s="321"/>
      <c r="C55" s="309"/>
      <c r="D55" s="313">
        <v>-1150.57</v>
      </c>
      <c r="E55" s="309">
        <v>3762</v>
      </c>
      <c r="F55" s="313">
        <v>2973.11</v>
      </c>
      <c r="G55" s="323">
        <v>268</v>
      </c>
      <c r="H55" s="315">
        <v>1301</v>
      </c>
      <c r="I55" s="313">
        <v>8287</v>
      </c>
      <c r="J55" s="315">
        <v>16497.510000000002</v>
      </c>
      <c r="K55" s="315">
        <v>2746</v>
      </c>
      <c r="L55" s="315">
        <v>6167.06</v>
      </c>
      <c r="M55" s="326">
        <v>484</v>
      </c>
      <c r="N55" s="326">
        <v>2041.76</v>
      </c>
      <c r="O55" s="315">
        <v>1591</v>
      </c>
      <c r="P55" s="1030">
        <v>1163.28</v>
      </c>
      <c r="Q55" s="1039">
        <v>171</v>
      </c>
      <c r="R55" s="331">
        <v>68.820000000000007</v>
      </c>
      <c r="S55" s="315"/>
      <c r="T55" s="315">
        <v>0</v>
      </c>
      <c r="U55" s="315"/>
      <c r="V55" s="315">
        <v>0</v>
      </c>
      <c r="W55" s="315">
        <v>-10201</v>
      </c>
      <c r="X55" s="315">
        <v>-3985.52</v>
      </c>
      <c r="Y55" s="315">
        <v>-4584</v>
      </c>
      <c r="Z55" s="315">
        <v>6555.1100000000006</v>
      </c>
      <c r="AA55" s="332">
        <v>12428</v>
      </c>
      <c r="AB55" s="333">
        <v>11815.4</v>
      </c>
      <c r="AC55" s="315">
        <v>1782</v>
      </c>
      <c r="AD55" s="315">
        <v>5143.6900000000005</v>
      </c>
      <c r="AE55" s="315"/>
      <c r="AF55" s="315">
        <v>43257.55</v>
      </c>
      <c r="AG55" s="315">
        <v>21215</v>
      </c>
      <c r="AH55" s="315">
        <v>-29194.34</v>
      </c>
      <c r="AI55" s="315">
        <v>19524</v>
      </c>
      <c r="AJ55" s="315">
        <v>15488.470000000001</v>
      </c>
      <c r="AK55" s="315">
        <v>1957</v>
      </c>
      <c r="AL55" s="315">
        <v>3071.9700000000003</v>
      </c>
      <c r="AM55" s="335"/>
      <c r="AN55" s="335"/>
      <c r="AO55" s="714">
        <v>34411</v>
      </c>
      <c r="AP55" s="714">
        <v>83844.100000000006</v>
      </c>
      <c r="AQ55" s="315">
        <v>286</v>
      </c>
      <c r="AR55" s="315">
        <v>7544.37</v>
      </c>
      <c r="AS55" s="333">
        <v>3237</v>
      </c>
      <c r="AT55" s="333">
        <v>2191.92</v>
      </c>
      <c r="AU55" s="315">
        <v>20172</v>
      </c>
      <c r="AV55" s="315">
        <v>37460.800000000003</v>
      </c>
      <c r="AW55" s="323"/>
      <c r="AX55" s="522"/>
    </row>
    <row r="56" spans="1:50" s="570" customFormat="1" ht="18" x14ac:dyDescent="0.35">
      <c r="A56" s="561" t="s">
        <v>210</v>
      </c>
      <c r="B56" s="562"/>
      <c r="C56" s="1003">
        <v>12822</v>
      </c>
      <c r="D56" s="563">
        <v>10961.12</v>
      </c>
      <c r="E56" s="1003">
        <v>-3274</v>
      </c>
      <c r="F56" s="563">
        <v>2646.69</v>
      </c>
      <c r="G56" s="563">
        <v>4821</v>
      </c>
      <c r="H56" s="563">
        <v>1623</v>
      </c>
      <c r="I56" s="563">
        <v>32288</v>
      </c>
      <c r="J56" s="563">
        <v>43787.56</v>
      </c>
      <c r="K56" s="564">
        <v>-24024</v>
      </c>
      <c r="L56" s="563">
        <v>-7828.18</v>
      </c>
      <c r="M56" s="566">
        <v>8032</v>
      </c>
      <c r="N56" s="563">
        <v>16523.330000000002</v>
      </c>
      <c r="O56" s="564">
        <v>3828</v>
      </c>
      <c r="P56" s="1033">
        <v>15310.5</v>
      </c>
      <c r="Q56" s="1040">
        <v>231</v>
      </c>
      <c r="R56" s="1035">
        <v>484.8</v>
      </c>
      <c r="S56" s="564">
        <v>2331</v>
      </c>
      <c r="T56" s="563">
        <v>3392.48</v>
      </c>
      <c r="U56" s="564"/>
      <c r="V56" s="563">
        <v>0</v>
      </c>
      <c r="W56" s="564">
        <v>40731</v>
      </c>
      <c r="X56" s="563">
        <v>66445.399999999994</v>
      </c>
      <c r="Y56" s="564">
        <v>104628</v>
      </c>
      <c r="Z56" s="563">
        <v>157484.21</v>
      </c>
      <c r="AA56" s="579"/>
      <c r="AB56" s="563">
        <v>10485.79</v>
      </c>
      <c r="AC56" s="564">
        <v>27045</v>
      </c>
      <c r="AD56" s="563">
        <v>8982.31</v>
      </c>
      <c r="AE56" s="564">
        <v>12418</v>
      </c>
      <c r="AF56" s="563">
        <v>43257.55</v>
      </c>
      <c r="AG56" s="564">
        <v>40096</v>
      </c>
      <c r="AH56" s="563">
        <v>0</v>
      </c>
      <c r="AI56" s="564">
        <v>22894</v>
      </c>
      <c r="AJ56" s="563">
        <v>20250.34</v>
      </c>
      <c r="AK56" s="564">
        <v>4747</v>
      </c>
      <c r="AL56" s="563">
        <v>3675.21</v>
      </c>
      <c r="AM56" s="563"/>
      <c r="AN56" s="563"/>
      <c r="AO56" s="716">
        <v>60539</v>
      </c>
      <c r="AP56" s="563">
        <v>129969.33</v>
      </c>
      <c r="AQ56" s="563">
        <v>286</v>
      </c>
      <c r="AR56" s="564">
        <v>7544.37</v>
      </c>
      <c r="AS56" s="563">
        <v>17673</v>
      </c>
      <c r="AT56" s="568">
        <v>12996.14</v>
      </c>
      <c r="AU56" s="563">
        <v>23043</v>
      </c>
      <c r="AV56" s="564">
        <v>39400.129999999997</v>
      </c>
      <c r="AW56" s="563">
        <v>159401</v>
      </c>
      <c r="AX56" s="1002"/>
    </row>
    <row r="57" spans="1:50" ht="17.25" x14ac:dyDescent="0.35">
      <c r="A57" s="262" t="s">
        <v>181</v>
      </c>
      <c r="B57" s="321"/>
      <c r="C57" s="309">
        <f>857+22</f>
        <v>879</v>
      </c>
      <c r="D57" s="314">
        <v>514.15</v>
      </c>
      <c r="E57" s="309">
        <v>12</v>
      </c>
      <c r="F57" s="314">
        <v>5.32</v>
      </c>
      <c r="G57" s="324">
        <v>223</v>
      </c>
      <c r="H57" s="316">
        <v>23</v>
      </c>
      <c r="I57" s="313">
        <v>14071</v>
      </c>
      <c r="J57" s="316">
        <v>8866.15</v>
      </c>
      <c r="K57" s="315"/>
      <c r="L57" s="316">
        <v>0</v>
      </c>
      <c r="M57" s="326">
        <v>623</v>
      </c>
      <c r="N57" s="327">
        <v>0</v>
      </c>
      <c r="O57" s="315">
        <v>3</v>
      </c>
      <c r="P57" s="1032">
        <v>1.76</v>
      </c>
      <c r="Q57" s="1039">
        <v>2</v>
      </c>
      <c r="R57" s="88">
        <v>1.1300000000000001</v>
      </c>
      <c r="S57" s="315"/>
      <c r="T57" s="316">
        <v>0</v>
      </c>
      <c r="U57" s="315">
        <f>73+137</f>
        <v>210</v>
      </c>
      <c r="V57" s="316">
        <v>115.22</v>
      </c>
      <c r="W57" s="315">
        <f>44382+65221</f>
        <v>109603</v>
      </c>
      <c r="X57" s="316">
        <v>45414.93</v>
      </c>
      <c r="Y57" s="315"/>
      <c r="Z57" s="316">
        <v>0</v>
      </c>
      <c r="AA57" s="332">
        <v>71</v>
      </c>
      <c r="AB57" s="332">
        <v>0</v>
      </c>
      <c r="AC57" s="315"/>
      <c r="AD57" s="316">
        <v>0</v>
      </c>
      <c r="AE57" s="315">
        <v>3893</v>
      </c>
      <c r="AF57" s="334">
        <v>3311.11</v>
      </c>
      <c r="AG57" s="315">
        <v>306</v>
      </c>
      <c r="AH57" s="316">
        <v>201.13</v>
      </c>
      <c r="AI57" s="315">
        <v>358</v>
      </c>
      <c r="AJ57" s="316">
        <v>264.72000000000003</v>
      </c>
      <c r="AK57" s="315"/>
      <c r="AL57" s="316">
        <v>21.580000000000002</v>
      </c>
      <c r="AM57" s="335"/>
      <c r="AN57" s="335"/>
      <c r="AO57" s="714">
        <v>6713</v>
      </c>
      <c r="AP57" s="714">
        <v>4866.5600000000004</v>
      </c>
      <c r="AQ57" s="315">
        <v>26</v>
      </c>
      <c r="AR57" s="315">
        <v>23.88</v>
      </c>
      <c r="AS57" s="315">
        <v>2</v>
      </c>
      <c r="AT57" s="333">
        <v>1.1200000000000001</v>
      </c>
      <c r="AU57" s="316"/>
      <c r="AV57" s="315"/>
      <c r="AW57" s="324"/>
      <c r="AX57" s="522"/>
    </row>
    <row r="58" spans="1:50" x14ac:dyDescent="0.3">
      <c r="A58" s="262" t="s">
        <v>182</v>
      </c>
      <c r="B58" s="321"/>
      <c r="C58" s="309"/>
      <c r="D58" s="313">
        <v>0</v>
      </c>
      <c r="E58" s="309"/>
      <c r="F58" s="313">
        <v>0</v>
      </c>
      <c r="G58" s="323"/>
      <c r="H58" s="315"/>
      <c r="I58" s="313"/>
      <c r="J58" s="315">
        <v>0</v>
      </c>
      <c r="K58" s="315"/>
      <c r="L58" s="315">
        <v>0</v>
      </c>
      <c r="M58" s="326"/>
      <c r="N58" s="326">
        <v>284.29000000000002</v>
      </c>
      <c r="O58" s="315"/>
      <c r="P58" s="1030">
        <v>0</v>
      </c>
      <c r="Q58" s="1039"/>
      <c r="R58" s="331">
        <v>0</v>
      </c>
      <c r="S58" s="315"/>
      <c r="T58" s="315">
        <v>0</v>
      </c>
      <c r="U58" s="315"/>
      <c r="V58" s="315">
        <v>0</v>
      </c>
      <c r="W58" s="315"/>
      <c r="X58" s="315">
        <v>0</v>
      </c>
      <c r="Y58" s="315"/>
      <c r="Z58" s="315">
        <v>0</v>
      </c>
      <c r="AA58" s="332"/>
      <c r="AB58" s="333">
        <v>0</v>
      </c>
      <c r="AC58" s="315"/>
      <c r="AD58" s="315">
        <v>0</v>
      </c>
      <c r="AE58" s="315"/>
      <c r="AF58" s="315">
        <v>0</v>
      </c>
      <c r="AG58" s="315">
        <v>131891</v>
      </c>
      <c r="AH58" s="315">
        <v>132310.24</v>
      </c>
      <c r="AI58" s="315"/>
      <c r="AJ58" s="315">
        <v>0</v>
      </c>
      <c r="AK58" s="315"/>
      <c r="AL58" s="315">
        <v>0</v>
      </c>
      <c r="AM58" s="335"/>
      <c r="AN58" s="335"/>
      <c r="AO58" s="714"/>
      <c r="AP58" s="715">
        <v>0</v>
      </c>
      <c r="AQ58" s="315">
        <v>10672</v>
      </c>
      <c r="AR58" s="315">
        <v>9571.08</v>
      </c>
      <c r="AS58" s="333"/>
      <c r="AT58" s="333"/>
      <c r="AU58" s="315"/>
      <c r="AV58" s="315"/>
      <c r="AW58" s="323"/>
      <c r="AX58" s="522"/>
    </row>
    <row r="59" spans="1:50" ht="17.25" thickBot="1" x14ac:dyDescent="0.35">
      <c r="A59" s="449" t="s">
        <v>183</v>
      </c>
      <c r="B59" s="450"/>
      <c r="C59" s="945">
        <v>12822</v>
      </c>
      <c r="D59" s="1024">
        <v>10961.12</v>
      </c>
      <c r="E59" s="945">
        <v>-3274</v>
      </c>
      <c r="F59" s="1024">
        <v>2646.69</v>
      </c>
      <c r="G59" s="452">
        <v>4821</v>
      </c>
      <c r="H59" s="451">
        <v>1623</v>
      </c>
      <c r="I59" s="1024">
        <v>32288</v>
      </c>
      <c r="J59" s="451">
        <v>43787.56</v>
      </c>
      <c r="K59" s="451">
        <v>-24024</v>
      </c>
      <c r="L59" s="451">
        <v>0</v>
      </c>
      <c r="M59" s="453">
        <v>8032</v>
      </c>
      <c r="N59" s="453">
        <v>16523.330000000002</v>
      </c>
      <c r="O59" s="451">
        <v>3828</v>
      </c>
      <c r="P59" s="1034">
        <v>15310.5</v>
      </c>
      <c r="Q59" s="1041">
        <v>231</v>
      </c>
      <c r="R59" s="454">
        <v>484.8</v>
      </c>
      <c r="S59" s="451"/>
      <c r="T59" s="451">
        <v>0</v>
      </c>
      <c r="U59" s="451"/>
      <c r="V59" s="451">
        <v>0</v>
      </c>
      <c r="W59" s="451">
        <v>40731</v>
      </c>
      <c r="X59" s="451">
        <v>66445.399999999994</v>
      </c>
      <c r="Y59" s="451"/>
      <c r="Z59" s="451">
        <v>0</v>
      </c>
      <c r="AA59" s="1022">
        <v>8155</v>
      </c>
      <c r="AB59" s="455">
        <v>0</v>
      </c>
      <c r="AC59" s="451"/>
      <c r="AD59" s="451">
        <v>0</v>
      </c>
      <c r="AE59" s="451">
        <v>12418</v>
      </c>
      <c r="AF59" s="451">
        <v>43257.55</v>
      </c>
      <c r="AG59" s="451">
        <v>40096</v>
      </c>
      <c r="AH59" s="451">
        <v>311965.25</v>
      </c>
      <c r="AI59" s="451">
        <v>22894</v>
      </c>
      <c r="AJ59" s="451">
        <v>20250.34</v>
      </c>
      <c r="AK59" s="451"/>
      <c r="AL59" s="451">
        <v>3675.21</v>
      </c>
      <c r="AM59" s="456"/>
      <c r="AN59" s="456"/>
      <c r="AO59" s="719">
        <v>60539</v>
      </c>
      <c r="AP59" s="719">
        <v>129939.33</v>
      </c>
      <c r="AQ59" s="451">
        <v>286</v>
      </c>
      <c r="AR59" s="451">
        <v>4417.21</v>
      </c>
      <c r="AS59" s="455">
        <v>-9802</v>
      </c>
      <c r="AT59" s="455">
        <v>4446.38</v>
      </c>
      <c r="AU59" s="451">
        <v>23043</v>
      </c>
      <c r="AV59" s="451">
        <v>39400.129999999997</v>
      </c>
      <c r="AW59" s="452"/>
      <c r="AX59" s="1020"/>
    </row>
    <row r="60" spans="1:50" s="570" customFormat="1" ht="18.75" thickBot="1" x14ac:dyDescent="0.4">
      <c r="A60" s="571" t="s">
        <v>184</v>
      </c>
      <c r="B60" s="572"/>
      <c r="C60" s="1026">
        <v>13701</v>
      </c>
      <c r="D60" s="1025">
        <v>11475.27</v>
      </c>
      <c r="E60" s="1026">
        <v>-3262</v>
      </c>
      <c r="F60" s="1025">
        <v>2652</v>
      </c>
      <c r="G60" s="574">
        <v>5044</v>
      </c>
      <c r="H60" s="573">
        <v>1652</v>
      </c>
      <c r="I60" s="1025">
        <v>46359</v>
      </c>
      <c r="J60" s="573">
        <v>52653.71</v>
      </c>
      <c r="K60" s="573">
        <v>-24024</v>
      </c>
      <c r="L60" s="573">
        <v>0</v>
      </c>
      <c r="M60" s="575">
        <v>8655</v>
      </c>
      <c r="N60" s="575">
        <v>16807.62</v>
      </c>
      <c r="O60" s="574">
        <v>3831</v>
      </c>
      <c r="P60" s="573">
        <v>15312.26</v>
      </c>
      <c r="Q60" s="1036">
        <v>233</v>
      </c>
      <c r="R60" s="576">
        <v>485.93</v>
      </c>
      <c r="S60" s="573"/>
      <c r="T60" s="573">
        <v>0</v>
      </c>
      <c r="U60" s="573">
        <v>210</v>
      </c>
      <c r="V60" s="573">
        <v>115.22</v>
      </c>
      <c r="W60" s="573">
        <v>150334</v>
      </c>
      <c r="X60" s="573">
        <v>11860.33</v>
      </c>
      <c r="Y60" s="574"/>
      <c r="Z60" s="573">
        <v>0</v>
      </c>
      <c r="AA60" s="1023">
        <v>8226</v>
      </c>
      <c r="AB60" s="577">
        <v>0</v>
      </c>
      <c r="AC60" s="573"/>
      <c r="AD60" s="573">
        <v>0</v>
      </c>
      <c r="AE60" s="573">
        <v>16311</v>
      </c>
      <c r="AF60" s="573">
        <v>46568.66</v>
      </c>
      <c r="AG60" s="574">
        <v>172383</v>
      </c>
      <c r="AH60" s="573">
        <v>444476.62</v>
      </c>
      <c r="AI60" s="573">
        <v>23252</v>
      </c>
      <c r="AJ60" s="573">
        <v>20515.060000000001</v>
      </c>
      <c r="AK60" s="573"/>
      <c r="AL60" s="573">
        <v>3696.79</v>
      </c>
      <c r="AM60" s="578"/>
      <c r="AN60" s="578"/>
      <c r="AO60" s="720">
        <v>67253</v>
      </c>
      <c r="AP60" s="720">
        <v>134835.89000000001</v>
      </c>
      <c r="AQ60" s="574">
        <v>10986</v>
      </c>
      <c r="AR60" s="573">
        <v>14012.17</v>
      </c>
      <c r="AS60" s="577">
        <v>-9800</v>
      </c>
      <c r="AT60" s="577">
        <v>4447.5</v>
      </c>
      <c r="AU60" s="573">
        <v>23043</v>
      </c>
      <c r="AV60" s="573">
        <v>39400.129999999997</v>
      </c>
      <c r="AW60" s="574"/>
      <c r="AX60" s="1021"/>
    </row>
    <row r="61" spans="1:50" x14ac:dyDescent="0.3">
      <c r="AO61" s="312"/>
      <c r="AP61" s="312"/>
    </row>
    <row r="62" spans="1:50" x14ac:dyDescent="0.3">
      <c r="AO62" s="312"/>
      <c r="AP62" s="312"/>
    </row>
  </sheetData>
  <mergeCells count="26">
    <mergeCell ref="AC2:AD2"/>
    <mergeCell ref="AA2:AB2"/>
    <mergeCell ref="AU2:AV2"/>
    <mergeCell ref="AW2:AX2"/>
    <mergeCell ref="AI2:AJ2"/>
    <mergeCell ref="AK2:AL2"/>
    <mergeCell ref="AM2:AN2"/>
    <mergeCell ref="AO2:AP2"/>
    <mergeCell ref="AQ2:AR2"/>
    <mergeCell ref="AS2:AT2"/>
    <mergeCell ref="A1:AX1"/>
    <mergeCell ref="A2:A3"/>
    <mergeCell ref="C2:D2"/>
    <mergeCell ref="E2:F2"/>
    <mergeCell ref="G2:H2"/>
    <mergeCell ref="I2:J2"/>
    <mergeCell ref="K2:L2"/>
    <mergeCell ref="M2:N2"/>
    <mergeCell ref="O2:P2"/>
    <mergeCell ref="Q2:R2"/>
    <mergeCell ref="Y2:Z2"/>
    <mergeCell ref="W2:X2"/>
    <mergeCell ref="U2:V2"/>
    <mergeCell ref="S2:T2"/>
    <mergeCell ref="AG2:AH2"/>
    <mergeCell ref="AE2:AF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BA42"/>
  <sheetViews>
    <sheetView workbookViewId="0">
      <pane xSplit="1" topLeftCell="F1" activePane="topRight" state="frozen"/>
      <selection pane="topRight" activeCell="K17" sqref="K17"/>
    </sheetView>
  </sheetViews>
  <sheetFormatPr defaultRowHeight="12.75" x14ac:dyDescent="0.25"/>
  <cols>
    <col min="1" max="1" width="38.42578125" style="936" bestFit="1" customWidth="1"/>
    <col min="2" max="37" width="15.85546875" style="74" bestFit="1" customWidth="1"/>
    <col min="38" max="39" width="15.85546875" style="646" bestFit="1" customWidth="1"/>
    <col min="40" max="51" width="15.85546875" style="74" bestFit="1" customWidth="1"/>
    <col min="52" max="53" width="15.85546875" style="646" bestFit="1" customWidth="1"/>
    <col min="54" max="16384" width="9.140625" style="646"/>
  </cols>
  <sheetData>
    <row r="1" spans="1:53" ht="57.75" customHeight="1" thickBot="1" x14ac:dyDescent="0.4">
      <c r="A1" s="910" t="s">
        <v>390</v>
      </c>
      <c r="B1" s="1161" t="s">
        <v>114</v>
      </c>
      <c r="C1" s="1162"/>
      <c r="D1" s="1135" t="s">
        <v>115</v>
      </c>
      <c r="E1" s="1121"/>
      <c r="F1" s="1135" t="s">
        <v>116</v>
      </c>
      <c r="G1" s="1121"/>
      <c r="H1" s="1135" t="s">
        <v>117</v>
      </c>
      <c r="I1" s="1121"/>
      <c r="J1" s="1135" t="s">
        <v>118</v>
      </c>
      <c r="K1" s="1121"/>
      <c r="L1" s="1135" t="s">
        <v>119</v>
      </c>
      <c r="M1" s="1121"/>
      <c r="N1" s="1135" t="s">
        <v>220</v>
      </c>
      <c r="O1" s="1121"/>
      <c r="P1" s="1135" t="s">
        <v>120</v>
      </c>
      <c r="Q1" s="1121"/>
      <c r="R1" s="1135" t="s">
        <v>121</v>
      </c>
      <c r="S1" s="1121"/>
      <c r="T1" s="1135" t="s">
        <v>122</v>
      </c>
      <c r="U1" s="1121"/>
      <c r="V1" s="1135" t="s">
        <v>123</v>
      </c>
      <c r="W1" s="1121"/>
      <c r="X1" s="1135" t="s">
        <v>124</v>
      </c>
      <c r="Y1" s="1121"/>
      <c r="Z1" s="1135" t="s">
        <v>226</v>
      </c>
      <c r="AA1" s="1121"/>
      <c r="AB1" s="1135" t="s">
        <v>125</v>
      </c>
      <c r="AC1" s="1121"/>
      <c r="AD1" s="1060" t="s">
        <v>126</v>
      </c>
      <c r="AE1" s="1061"/>
      <c r="AF1" s="1135" t="s">
        <v>127</v>
      </c>
      <c r="AG1" s="1121"/>
      <c r="AH1" s="1135" t="s">
        <v>128</v>
      </c>
      <c r="AI1" s="1121"/>
      <c r="AJ1" s="1135" t="s">
        <v>129</v>
      </c>
      <c r="AK1" s="1121"/>
      <c r="AL1" s="1156" t="s">
        <v>130</v>
      </c>
      <c r="AM1" s="1156"/>
      <c r="AN1" s="1135" t="s">
        <v>131</v>
      </c>
      <c r="AO1" s="1121"/>
      <c r="AP1" s="1135" t="s">
        <v>132</v>
      </c>
      <c r="AQ1" s="1121"/>
      <c r="AR1" s="1135" t="s">
        <v>133</v>
      </c>
      <c r="AS1" s="1120"/>
      <c r="AT1" s="1135" t="s">
        <v>134</v>
      </c>
      <c r="AU1" s="1121"/>
      <c r="AV1" s="1100" t="s">
        <v>1</v>
      </c>
      <c r="AW1" s="1101"/>
      <c r="AX1" s="1060" t="s">
        <v>135</v>
      </c>
      <c r="AY1" s="1061"/>
      <c r="AZ1" s="1092" t="s">
        <v>2</v>
      </c>
      <c r="BA1" s="1093"/>
    </row>
    <row r="2" spans="1:53" s="912" customFormat="1" ht="27.75" customHeight="1" thickBot="1" x14ac:dyDescent="0.3">
      <c r="A2" s="911" t="s">
        <v>0</v>
      </c>
      <c r="B2" s="409" t="s">
        <v>336</v>
      </c>
      <c r="C2" s="409" t="s">
        <v>224</v>
      </c>
      <c r="D2" s="409" t="s">
        <v>336</v>
      </c>
      <c r="E2" s="409" t="s">
        <v>224</v>
      </c>
      <c r="F2" s="409" t="s">
        <v>336</v>
      </c>
      <c r="G2" s="409" t="s">
        <v>224</v>
      </c>
      <c r="H2" s="409" t="s">
        <v>336</v>
      </c>
      <c r="I2" s="409" t="s">
        <v>224</v>
      </c>
      <c r="J2" s="409" t="s">
        <v>336</v>
      </c>
      <c r="K2" s="409" t="s">
        <v>224</v>
      </c>
      <c r="L2" s="409" t="s">
        <v>336</v>
      </c>
      <c r="M2" s="409" t="s">
        <v>224</v>
      </c>
      <c r="N2" s="409" t="s">
        <v>336</v>
      </c>
      <c r="O2" s="409" t="s">
        <v>224</v>
      </c>
      <c r="P2" s="409" t="s">
        <v>336</v>
      </c>
      <c r="Q2" s="409" t="s">
        <v>224</v>
      </c>
      <c r="R2" s="409" t="s">
        <v>336</v>
      </c>
      <c r="S2" s="409" t="s">
        <v>224</v>
      </c>
      <c r="T2" s="409" t="s">
        <v>336</v>
      </c>
      <c r="U2" s="409" t="s">
        <v>224</v>
      </c>
      <c r="V2" s="409" t="s">
        <v>336</v>
      </c>
      <c r="W2" s="409" t="s">
        <v>224</v>
      </c>
      <c r="X2" s="409" t="s">
        <v>336</v>
      </c>
      <c r="Y2" s="409" t="s">
        <v>224</v>
      </c>
      <c r="Z2" s="409" t="s">
        <v>336</v>
      </c>
      <c r="AA2" s="409" t="s">
        <v>224</v>
      </c>
      <c r="AB2" s="409" t="s">
        <v>336</v>
      </c>
      <c r="AC2" s="409" t="s">
        <v>224</v>
      </c>
      <c r="AD2" s="409" t="s">
        <v>336</v>
      </c>
      <c r="AE2" s="409" t="s">
        <v>224</v>
      </c>
      <c r="AF2" s="409" t="s">
        <v>336</v>
      </c>
      <c r="AG2" s="409" t="s">
        <v>224</v>
      </c>
      <c r="AH2" s="409" t="s">
        <v>336</v>
      </c>
      <c r="AI2" s="409" t="s">
        <v>224</v>
      </c>
      <c r="AJ2" s="409" t="s">
        <v>336</v>
      </c>
      <c r="AK2" s="409" t="s">
        <v>224</v>
      </c>
      <c r="AL2" s="872" t="s">
        <v>336</v>
      </c>
      <c r="AM2" s="857" t="s">
        <v>224</v>
      </c>
      <c r="AN2" s="409" t="s">
        <v>336</v>
      </c>
      <c r="AO2" s="409" t="s">
        <v>224</v>
      </c>
      <c r="AP2" s="409" t="s">
        <v>336</v>
      </c>
      <c r="AQ2" s="409" t="s">
        <v>224</v>
      </c>
      <c r="AR2" s="409" t="s">
        <v>336</v>
      </c>
      <c r="AS2" s="409" t="s">
        <v>224</v>
      </c>
      <c r="AT2" s="857" t="s">
        <v>336</v>
      </c>
      <c r="AU2" s="409" t="s">
        <v>224</v>
      </c>
      <c r="AV2" s="857" t="s">
        <v>336</v>
      </c>
      <c r="AW2" s="409" t="s">
        <v>224</v>
      </c>
      <c r="AX2" s="872" t="s">
        <v>336</v>
      </c>
      <c r="AY2" s="409" t="s">
        <v>224</v>
      </c>
      <c r="AZ2" s="409" t="s">
        <v>336</v>
      </c>
      <c r="BA2" s="409" t="s">
        <v>224</v>
      </c>
    </row>
    <row r="3" spans="1:53" ht="14.25" x14ac:dyDescent="0.3">
      <c r="A3" s="145" t="s">
        <v>340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3"/>
      <c r="O3" s="913"/>
      <c r="P3" s="913"/>
      <c r="Q3" s="913"/>
      <c r="R3" s="913"/>
      <c r="S3" s="913"/>
      <c r="T3" s="913"/>
      <c r="U3" s="913"/>
      <c r="V3" s="913"/>
      <c r="W3" s="913"/>
      <c r="X3" s="913"/>
      <c r="Y3" s="913"/>
      <c r="Z3" s="913"/>
      <c r="AA3" s="913"/>
      <c r="AB3" s="913"/>
      <c r="AC3" s="913"/>
      <c r="AD3" s="913"/>
      <c r="AE3" s="913"/>
      <c r="AF3" s="913"/>
      <c r="AG3" s="913"/>
      <c r="AH3" s="913"/>
      <c r="AI3" s="913"/>
      <c r="AJ3" s="916"/>
      <c r="AK3" s="913"/>
      <c r="AL3" s="915"/>
      <c r="AM3" s="1004"/>
      <c r="AN3" s="1007"/>
      <c r="AO3" s="267"/>
      <c r="AP3" s="916"/>
      <c r="AQ3" s="913"/>
      <c r="AR3" s="913"/>
      <c r="AS3" s="914"/>
      <c r="AT3" s="917"/>
      <c r="AU3" s="916"/>
      <c r="AV3" s="1012"/>
      <c r="AW3" s="1013"/>
      <c r="AX3" s="913"/>
      <c r="AY3" s="913"/>
      <c r="AZ3" s="918"/>
      <c r="BA3" s="919"/>
    </row>
    <row r="4" spans="1:53" ht="14.25" x14ac:dyDescent="0.3">
      <c r="A4" s="920" t="s">
        <v>341</v>
      </c>
      <c r="B4" s="921"/>
      <c r="C4" s="921"/>
      <c r="D4" s="921"/>
      <c r="E4" s="921"/>
      <c r="F4" s="921" t="s">
        <v>342</v>
      </c>
      <c r="G4" s="921"/>
      <c r="H4" s="921"/>
      <c r="I4" s="921"/>
      <c r="J4" s="921"/>
      <c r="K4" s="921"/>
      <c r="L4" s="921"/>
      <c r="M4" s="921"/>
      <c r="N4" s="921"/>
      <c r="O4" s="921"/>
      <c r="P4" s="921"/>
      <c r="Q4" s="921"/>
      <c r="R4" s="921"/>
      <c r="S4" s="921"/>
      <c r="T4" s="921"/>
      <c r="U4" s="921"/>
      <c r="V4" s="921"/>
      <c r="W4" s="921"/>
      <c r="X4" s="921"/>
      <c r="Y4" s="921"/>
      <c r="Z4" s="921"/>
      <c r="AA4" s="921"/>
      <c r="AB4" s="921"/>
      <c r="AC4" s="921"/>
      <c r="AD4" s="921"/>
      <c r="AE4" s="921"/>
      <c r="AF4" s="921"/>
      <c r="AG4" s="921"/>
      <c r="AH4" s="921"/>
      <c r="AI4" s="921"/>
      <c r="AJ4" s="261"/>
      <c r="AK4" s="921"/>
      <c r="AL4" s="923"/>
      <c r="AM4" s="1005"/>
      <c r="AN4" s="637"/>
      <c r="AO4" s="73"/>
      <c r="AP4" s="261"/>
      <c r="AQ4" s="921"/>
      <c r="AR4" s="921"/>
      <c r="AS4" s="922"/>
      <c r="AT4" s="924"/>
      <c r="AU4" s="261"/>
      <c r="AV4" s="1014"/>
      <c r="AW4" s="263"/>
      <c r="AX4" s="921"/>
      <c r="AY4" s="921"/>
      <c r="AZ4" s="925"/>
      <c r="BA4" s="919"/>
    </row>
    <row r="5" spans="1:53" ht="14.25" x14ac:dyDescent="0.3">
      <c r="A5" s="71" t="s">
        <v>343</v>
      </c>
      <c r="B5" s="921"/>
      <c r="C5" s="921"/>
      <c r="D5" s="921"/>
      <c r="E5" s="921"/>
      <c r="F5" s="921"/>
      <c r="G5" s="921"/>
      <c r="H5" s="921"/>
      <c r="I5" s="921"/>
      <c r="J5" s="921"/>
      <c r="K5" s="921"/>
      <c r="L5" s="921"/>
      <c r="M5" s="921"/>
      <c r="N5" s="921"/>
      <c r="O5" s="921"/>
      <c r="P5" s="921"/>
      <c r="Q5" s="921"/>
      <c r="R5" s="921"/>
      <c r="S5" s="921"/>
      <c r="T5" s="921"/>
      <c r="U5" s="921"/>
      <c r="V5" s="921"/>
      <c r="W5" s="921"/>
      <c r="X5" s="921"/>
      <c r="Y5" s="921"/>
      <c r="Z5" s="921"/>
      <c r="AA5" s="921"/>
      <c r="AB5" s="921"/>
      <c r="AC5" s="921"/>
      <c r="AD5" s="921"/>
      <c r="AE5" s="921"/>
      <c r="AF5" s="921"/>
      <c r="AG5" s="921"/>
      <c r="AH5" s="921"/>
      <c r="AI5" s="921"/>
      <c r="AJ5" s="261"/>
      <c r="AK5" s="921"/>
      <c r="AL5" s="923"/>
      <c r="AM5" s="1005"/>
      <c r="AN5" s="637"/>
      <c r="AO5" s="73"/>
      <c r="AP5" s="261"/>
      <c r="AQ5" s="921"/>
      <c r="AR5" s="921"/>
      <c r="AS5" s="922"/>
      <c r="AT5" s="924"/>
      <c r="AU5" s="261"/>
      <c r="AV5" s="1014"/>
      <c r="AW5" s="263"/>
      <c r="AX5" s="921"/>
      <c r="AY5" s="921"/>
      <c r="AZ5" s="925"/>
      <c r="BA5" s="919"/>
    </row>
    <row r="6" spans="1:53" ht="14.25" x14ac:dyDescent="0.3">
      <c r="A6" s="71" t="s">
        <v>344</v>
      </c>
      <c r="B6" s="921"/>
      <c r="C6" s="921"/>
      <c r="D6" s="921"/>
      <c r="E6" s="921"/>
      <c r="F6" s="921"/>
      <c r="G6" s="921"/>
      <c r="H6" s="921"/>
      <c r="I6" s="921"/>
      <c r="J6" s="921"/>
      <c r="K6" s="921"/>
      <c r="L6" s="921"/>
      <c r="M6" s="921"/>
      <c r="N6" s="921"/>
      <c r="O6" s="921"/>
      <c r="P6" s="921"/>
      <c r="Q6" s="921"/>
      <c r="R6" s="921"/>
      <c r="S6" s="921"/>
      <c r="T6" s="921"/>
      <c r="U6" s="921"/>
      <c r="V6" s="921"/>
      <c r="W6" s="921"/>
      <c r="X6" s="921"/>
      <c r="Y6" s="921"/>
      <c r="Z6" s="921"/>
      <c r="AA6" s="921"/>
      <c r="AB6" s="921"/>
      <c r="AC6" s="921"/>
      <c r="AD6" s="921"/>
      <c r="AE6" s="921">
        <v>4335</v>
      </c>
      <c r="AF6" s="921"/>
      <c r="AG6" s="921"/>
      <c r="AH6" s="921"/>
      <c r="AI6" s="921"/>
      <c r="AJ6" s="261"/>
      <c r="AK6" s="921"/>
      <c r="AL6" s="923"/>
      <c r="AM6" s="1005"/>
      <c r="AN6" s="637"/>
      <c r="AO6" s="73"/>
      <c r="AP6" s="261"/>
      <c r="AQ6" s="921"/>
      <c r="AR6" s="921"/>
      <c r="AS6" s="922"/>
      <c r="AT6" s="924"/>
      <c r="AU6" s="261"/>
      <c r="AV6" s="1014">
        <f>SUM(B6+D6+F6+H6+J6+L6+N6+P6+R6+T6+V6+X6+Z6+AB6+AD6+AF6+AH6+AJ6+AL6+AN6+AP6+AR6+AT6)</f>
        <v>0</v>
      </c>
      <c r="AW6" s="263">
        <f>SUM(C6+E6+G6+I6+K6+M6+O6+Q6+S6+U6+W6+Y6+AA6+AC6+AE6+AG6+AI6+AK6+AM6+AO6+AQ6+AS6+AU6)</f>
        <v>4335</v>
      </c>
      <c r="AX6" s="921">
        <v>1155500.04</v>
      </c>
      <c r="AY6" s="921">
        <v>1358670.2</v>
      </c>
      <c r="AZ6" s="1014">
        <f>AV6+AX6</f>
        <v>1155500.04</v>
      </c>
      <c r="BA6" s="1017">
        <f>AW6+AY6</f>
        <v>1363005.2</v>
      </c>
    </row>
    <row r="7" spans="1:53" ht="14.25" x14ac:dyDescent="0.3">
      <c r="A7" s="71" t="s">
        <v>345</v>
      </c>
      <c r="B7" s="921"/>
      <c r="C7" s="921"/>
      <c r="D7" s="921"/>
      <c r="E7" s="921"/>
      <c r="F7" s="921"/>
      <c r="G7" s="921"/>
      <c r="H7" s="921"/>
      <c r="I7" s="921"/>
      <c r="J7" s="921"/>
      <c r="K7" s="921"/>
      <c r="L7" s="921"/>
      <c r="M7" s="921"/>
      <c r="N7" s="921"/>
      <c r="O7" s="921"/>
      <c r="P7" s="921"/>
      <c r="Q7" s="921"/>
      <c r="R7" s="921"/>
      <c r="S7" s="921"/>
      <c r="T7" s="921"/>
      <c r="U7" s="921"/>
      <c r="V7" s="921"/>
      <c r="W7" s="921"/>
      <c r="X7" s="921"/>
      <c r="Y7" s="921"/>
      <c r="Z7" s="921"/>
      <c r="AA7" s="921"/>
      <c r="AB7" s="921"/>
      <c r="AC7" s="921"/>
      <c r="AD7" s="921"/>
      <c r="AE7" s="921"/>
      <c r="AF7" s="921"/>
      <c r="AG7" s="921"/>
      <c r="AH7" s="921"/>
      <c r="AI7" s="921"/>
      <c r="AJ7" s="261"/>
      <c r="AK7" s="921"/>
      <c r="AL7" s="923"/>
      <c r="AM7" s="1005"/>
      <c r="AN7" s="637"/>
      <c r="AO7" s="73"/>
      <c r="AP7" s="261"/>
      <c r="AQ7" s="921"/>
      <c r="AR7" s="921"/>
      <c r="AS7" s="922"/>
      <c r="AT7" s="924"/>
      <c r="AU7" s="261"/>
      <c r="AV7" s="1014">
        <f t="shared" ref="AV7:AV42" si="0">SUM(B7+D7+F7+H7+J7+L7+N7+P7+R7+T7+V7+X7+Z7+AB7+AD7+AF7+AH7+AJ7+AL7+AN7+AP7+AR7+AT7)</f>
        <v>0</v>
      </c>
      <c r="AW7" s="263">
        <f t="shared" ref="AW7:AW42" si="1">SUM(C7+E7+G7+I7+K7+M7+O7+Q7+S7+U7+W7+Y7+AA7+AC7+AE7+AG7+AI7+AK7+AM7+AO7+AQ7+AS7+AU7)</f>
        <v>0</v>
      </c>
      <c r="AX7" s="921">
        <v>1119</v>
      </c>
      <c r="AY7" s="921">
        <v>1298.95</v>
      </c>
      <c r="AZ7" s="1014">
        <f t="shared" ref="AZ7:AZ20" si="2">AV7+AX7</f>
        <v>1119</v>
      </c>
      <c r="BA7" s="1017">
        <f t="shared" ref="BA7:BA41" si="3">AW7+AY7</f>
        <v>1298.95</v>
      </c>
    </row>
    <row r="8" spans="1:53" ht="14.25" x14ac:dyDescent="0.3">
      <c r="A8" s="71" t="s">
        <v>346</v>
      </c>
      <c r="B8" s="921"/>
      <c r="C8" s="921"/>
      <c r="D8" s="921"/>
      <c r="E8" s="921"/>
      <c r="F8" s="921"/>
      <c r="G8" s="921"/>
      <c r="H8" s="921"/>
      <c r="I8" s="921"/>
      <c r="J8" s="921"/>
      <c r="K8" s="921"/>
      <c r="L8" s="921"/>
      <c r="M8" s="921"/>
      <c r="N8" s="921"/>
      <c r="O8" s="921"/>
      <c r="P8" s="921"/>
      <c r="Q8" s="921"/>
      <c r="R8" s="921"/>
      <c r="S8" s="921"/>
      <c r="T8" s="921"/>
      <c r="U8" s="921"/>
      <c r="V8" s="921"/>
      <c r="W8" s="921"/>
      <c r="X8" s="921"/>
      <c r="Y8" s="921"/>
      <c r="Z8" s="921"/>
      <c r="AA8" s="921"/>
      <c r="AB8" s="921"/>
      <c r="AC8" s="921"/>
      <c r="AD8" s="921"/>
      <c r="AE8" s="921"/>
      <c r="AF8" s="921"/>
      <c r="AG8" s="921"/>
      <c r="AH8" s="921"/>
      <c r="AI8" s="921"/>
      <c r="AJ8" s="261"/>
      <c r="AK8" s="921"/>
      <c r="AL8" s="923"/>
      <c r="AM8" s="1005"/>
      <c r="AN8" s="637"/>
      <c r="AO8" s="73"/>
      <c r="AP8" s="261"/>
      <c r="AQ8" s="921"/>
      <c r="AR8" s="921"/>
      <c r="AS8" s="922"/>
      <c r="AT8" s="924"/>
      <c r="AU8" s="261"/>
      <c r="AV8" s="1014">
        <f t="shared" si="0"/>
        <v>0</v>
      </c>
      <c r="AW8" s="263">
        <f t="shared" si="1"/>
        <v>0</v>
      </c>
      <c r="AX8" s="921"/>
      <c r="AY8" s="921"/>
      <c r="AZ8" s="1014">
        <f t="shared" si="2"/>
        <v>0</v>
      </c>
      <c r="BA8" s="1017">
        <f t="shared" si="3"/>
        <v>0</v>
      </c>
    </row>
    <row r="9" spans="1:53" ht="14.25" x14ac:dyDescent="0.3">
      <c r="A9" s="71" t="s">
        <v>347</v>
      </c>
      <c r="B9" s="921">
        <v>27180</v>
      </c>
      <c r="C9" s="921">
        <v>19976</v>
      </c>
      <c r="D9" s="921">
        <v>262</v>
      </c>
      <c r="E9" s="921">
        <v>233</v>
      </c>
      <c r="F9" s="921"/>
      <c r="G9" s="921"/>
      <c r="H9" s="921">
        <v>51224</v>
      </c>
      <c r="I9" s="921">
        <v>45719</v>
      </c>
      <c r="J9" s="921">
        <v>2959</v>
      </c>
      <c r="K9" s="921">
        <v>2279</v>
      </c>
      <c r="L9" s="921">
        <v>661</v>
      </c>
      <c r="M9" s="921">
        <v>278</v>
      </c>
      <c r="N9" s="921">
        <v>8416</v>
      </c>
      <c r="O9" s="921">
        <v>5524</v>
      </c>
      <c r="P9" s="921">
        <v>1735</v>
      </c>
      <c r="Q9" s="921">
        <v>1360</v>
      </c>
      <c r="R9" s="921">
        <v>60505</v>
      </c>
      <c r="S9" s="921">
        <v>50877</v>
      </c>
      <c r="T9" s="921">
        <v>3408</v>
      </c>
      <c r="U9" s="921">
        <v>2251</v>
      </c>
      <c r="V9" s="921">
        <v>59277</v>
      </c>
      <c r="W9" s="921">
        <v>37589</v>
      </c>
      <c r="X9" s="921">
        <v>86008</v>
      </c>
      <c r="Y9" s="921">
        <v>59155</v>
      </c>
      <c r="Z9" s="921">
        <v>1254</v>
      </c>
      <c r="AA9" s="921">
        <v>858</v>
      </c>
      <c r="AB9" s="921">
        <v>2028</v>
      </c>
      <c r="AC9" s="921">
        <v>1266</v>
      </c>
      <c r="AD9" s="921">
        <v>7385</v>
      </c>
      <c r="AE9" s="921">
        <v>5328</v>
      </c>
      <c r="AF9" s="921">
        <v>62989</v>
      </c>
      <c r="AG9" s="921">
        <v>50375</v>
      </c>
      <c r="AH9" s="921">
        <v>14149</v>
      </c>
      <c r="AI9" s="921">
        <v>7431</v>
      </c>
      <c r="AJ9" s="261">
        <v>7530</v>
      </c>
      <c r="AK9" s="921">
        <v>5921</v>
      </c>
      <c r="AL9" s="923"/>
      <c r="AM9" s="1005"/>
      <c r="AN9" s="637">
        <v>15127</v>
      </c>
      <c r="AO9" s="73">
        <v>10139</v>
      </c>
      <c r="AP9" s="261">
        <v>8184</v>
      </c>
      <c r="AQ9" s="921">
        <v>5742</v>
      </c>
      <c r="AR9" s="921">
        <v>1678</v>
      </c>
      <c r="AS9" s="922">
        <v>1140</v>
      </c>
      <c r="AT9" s="924">
        <v>50331</v>
      </c>
      <c r="AU9" s="261">
        <v>46844</v>
      </c>
      <c r="AV9" s="1014">
        <f t="shared" si="0"/>
        <v>472290</v>
      </c>
      <c r="AW9" s="263">
        <f t="shared" si="1"/>
        <v>360285</v>
      </c>
      <c r="AX9" s="921">
        <v>10426426.560000001</v>
      </c>
      <c r="AY9" s="921">
        <v>10016165.85</v>
      </c>
      <c r="AZ9" s="1014">
        <f t="shared" si="2"/>
        <v>10898716.560000001</v>
      </c>
      <c r="BA9" s="1017">
        <f t="shared" si="3"/>
        <v>10376450.85</v>
      </c>
    </row>
    <row r="10" spans="1:53" ht="14.25" x14ac:dyDescent="0.3">
      <c r="A10" s="71" t="s">
        <v>348</v>
      </c>
      <c r="B10" s="921"/>
      <c r="C10" s="921"/>
      <c r="D10" s="926"/>
      <c r="E10" s="926"/>
      <c r="F10" s="921"/>
      <c r="G10" s="921"/>
      <c r="H10" s="921"/>
      <c r="I10" s="921"/>
      <c r="J10" s="921"/>
      <c r="K10" s="921"/>
      <c r="L10" s="921"/>
      <c r="M10" s="921"/>
      <c r="N10" s="921"/>
      <c r="O10" s="921"/>
      <c r="P10" s="921">
        <f>48-13</f>
        <v>35</v>
      </c>
      <c r="Q10" s="921">
        <v>22</v>
      </c>
      <c r="R10" s="921"/>
      <c r="S10" s="921"/>
      <c r="T10" s="921"/>
      <c r="U10" s="921"/>
      <c r="V10" s="921"/>
      <c r="W10" s="921"/>
      <c r="X10" s="921"/>
      <c r="Y10" s="921"/>
      <c r="Z10" s="921"/>
      <c r="AA10" s="921"/>
      <c r="AB10" s="921"/>
      <c r="AC10" s="921"/>
      <c r="AD10" s="921"/>
      <c r="AE10" s="921"/>
      <c r="AF10" s="921"/>
      <c r="AG10" s="921"/>
      <c r="AH10" s="921"/>
      <c r="AI10" s="921"/>
      <c r="AJ10" s="261"/>
      <c r="AK10" s="921"/>
      <c r="AL10" s="923"/>
      <c r="AM10" s="1005"/>
      <c r="AN10" s="637">
        <v>20252</v>
      </c>
      <c r="AO10" s="73">
        <v>23074</v>
      </c>
      <c r="AP10" s="261"/>
      <c r="AQ10" s="921"/>
      <c r="AR10" s="921"/>
      <c r="AS10" s="922"/>
      <c r="AT10" s="924"/>
      <c r="AU10" s="261"/>
      <c r="AV10" s="1014">
        <f t="shared" si="0"/>
        <v>20287</v>
      </c>
      <c r="AW10" s="263">
        <f t="shared" si="1"/>
        <v>23096</v>
      </c>
      <c r="AX10" s="921">
        <f>0.02+307804.51+88530.04</f>
        <v>396334.57</v>
      </c>
      <c r="AY10" s="921">
        <f>0.02+385491.76+88859.32</f>
        <v>474351.10000000003</v>
      </c>
      <c r="AZ10" s="1014">
        <f t="shared" si="2"/>
        <v>416621.57</v>
      </c>
      <c r="BA10" s="1017">
        <f t="shared" si="3"/>
        <v>497447.10000000003</v>
      </c>
    </row>
    <row r="11" spans="1:53" ht="14.25" x14ac:dyDescent="0.3">
      <c r="A11" s="920" t="s">
        <v>349</v>
      </c>
      <c r="B11" s="921"/>
      <c r="C11" s="921"/>
      <c r="D11" s="921">
        <v>6941</v>
      </c>
      <c r="E11" s="921">
        <v>6747</v>
      </c>
      <c r="F11" s="921"/>
      <c r="G11" s="921"/>
      <c r="H11" s="921"/>
      <c r="I11" s="921"/>
      <c r="J11" s="921"/>
      <c r="K11" s="921"/>
      <c r="L11" s="921"/>
      <c r="M11" s="921"/>
      <c r="N11" s="921"/>
      <c r="O11" s="921"/>
      <c r="P11" s="921"/>
      <c r="Q11" s="921"/>
      <c r="R11" s="921">
        <v>34</v>
      </c>
      <c r="S11" s="921">
        <v>23</v>
      </c>
      <c r="T11" s="921">
        <v>1</v>
      </c>
      <c r="U11" s="921">
        <v>9</v>
      </c>
      <c r="V11" s="921"/>
      <c r="W11" s="921"/>
      <c r="X11" s="921"/>
      <c r="Y11" s="921"/>
      <c r="Z11" s="921"/>
      <c r="AA11" s="921"/>
      <c r="AB11" s="921"/>
      <c r="AC11" s="921"/>
      <c r="AD11" s="921"/>
      <c r="AE11" s="921"/>
      <c r="AF11" s="921"/>
      <c r="AG11" s="921"/>
      <c r="AH11" s="921"/>
      <c r="AI11" s="921"/>
      <c r="AJ11" s="261"/>
      <c r="AK11" s="921"/>
      <c r="AL11" s="923"/>
      <c r="AM11" s="1005"/>
      <c r="AN11" s="637"/>
      <c r="AO11" s="73"/>
      <c r="AP11" s="261"/>
      <c r="AQ11" s="921"/>
      <c r="AR11" s="921"/>
      <c r="AS11" s="922"/>
      <c r="AT11" s="924"/>
      <c r="AU11" s="261"/>
      <c r="AV11" s="1014">
        <f t="shared" si="0"/>
        <v>6976</v>
      </c>
      <c r="AW11" s="263">
        <f t="shared" si="1"/>
        <v>6779</v>
      </c>
      <c r="AX11" s="921">
        <v>258558.88</v>
      </c>
      <c r="AY11" s="921">
        <v>272805.75</v>
      </c>
      <c r="AZ11" s="1014">
        <f t="shared" si="2"/>
        <v>265534.88</v>
      </c>
      <c r="BA11" s="1017">
        <f t="shared" si="3"/>
        <v>279584.75</v>
      </c>
    </row>
    <row r="12" spans="1:53" ht="14.25" x14ac:dyDescent="0.3">
      <c r="A12" s="920" t="s">
        <v>350</v>
      </c>
      <c r="B12" s="921"/>
      <c r="C12" s="921"/>
      <c r="D12" s="921"/>
      <c r="E12" s="921"/>
      <c r="F12" s="921"/>
      <c r="G12" s="921"/>
      <c r="H12" s="921"/>
      <c r="I12" s="921"/>
      <c r="J12" s="921"/>
      <c r="K12" s="921"/>
      <c r="L12" s="921"/>
      <c r="M12" s="921"/>
      <c r="N12" s="921"/>
      <c r="O12" s="921"/>
      <c r="P12" s="921"/>
      <c r="Q12" s="921"/>
      <c r="R12" s="921"/>
      <c r="S12" s="921"/>
      <c r="T12" s="921"/>
      <c r="U12" s="921"/>
      <c r="V12" s="921"/>
      <c r="W12" s="921"/>
      <c r="X12" s="921"/>
      <c r="Y12" s="921"/>
      <c r="Z12" s="921"/>
      <c r="AA12" s="921"/>
      <c r="AB12" s="921"/>
      <c r="AC12" s="921"/>
      <c r="AD12" s="921"/>
      <c r="AE12" s="921"/>
      <c r="AF12" s="921"/>
      <c r="AG12" s="921"/>
      <c r="AH12" s="921"/>
      <c r="AI12" s="921"/>
      <c r="AJ12" s="261"/>
      <c r="AK12" s="921"/>
      <c r="AL12" s="923"/>
      <c r="AM12" s="1005"/>
      <c r="AN12" s="637"/>
      <c r="AO12" s="73"/>
      <c r="AP12" s="261"/>
      <c r="AQ12" s="921"/>
      <c r="AR12" s="921"/>
      <c r="AS12" s="922"/>
      <c r="AT12" s="924"/>
      <c r="AU12" s="261"/>
      <c r="AV12" s="1014">
        <f t="shared" si="0"/>
        <v>0</v>
      </c>
      <c r="AW12" s="263">
        <f t="shared" si="1"/>
        <v>0</v>
      </c>
      <c r="AX12" s="921">
        <v>-1230947.1100000001</v>
      </c>
      <c r="AY12" s="921">
        <v>-1381001.67</v>
      </c>
      <c r="AZ12" s="1014">
        <f t="shared" si="2"/>
        <v>-1230947.1100000001</v>
      </c>
      <c r="BA12" s="1017">
        <f t="shared" si="3"/>
        <v>-1381001.67</v>
      </c>
    </row>
    <row r="13" spans="1:53" ht="14.25" x14ac:dyDescent="0.3">
      <c r="A13" s="103" t="s">
        <v>54</v>
      </c>
      <c r="B13" s="921">
        <f>B9</f>
        <v>27180</v>
      </c>
      <c r="C13" s="921">
        <f>C9</f>
        <v>19976</v>
      </c>
      <c r="D13" s="926">
        <f>D9+D11</f>
        <v>7203</v>
      </c>
      <c r="E13" s="926">
        <v>6980</v>
      </c>
      <c r="F13" s="921"/>
      <c r="G13" s="921"/>
      <c r="H13" s="921">
        <f>H9</f>
        <v>51224</v>
      </c>
      <c r="I13" s="921">
        <f>I9</f>
        <v>45719</v>
      </c>
      <c r="J13" s="921">
        <f>J9</f>
        <v>2959</v>
      </c>
      <c r="K13" s="921">
        <v>2279</v>
      </c>
      <c r="L13" s="921">
        <f t="shared" ref="L13:AD13" si="4">SUM(L5:L11)</f>
        <v>661</v>
      </c>
      <c r="M13" s="921">
        <f>M9</f>
        <v>278</v>
      </c>
      <c r="N13" s="921">
        <f t="shared" si="4"/>
        <v>8416</v>
      </c>
      <c r="O13" s="921">
        <f>O9</f>
        <v>5524</v>
      </c>
      <c r="P13" s="921">
        <v>1771</v>
      </c>
      <c r="Q13" s="921">
        <v>1382</v>
      </c>
      <c r="R13" s="921">
        <f t="shared" si="4"/>
        <v>60539</v>
      </c>
      <c r="S13" s="921">
        <v>50899</v>
      </c>
      <c r="T13" s="921">
        <f t="shared" si="4"/>
        <v>3409</v>
      </c>
      <c r="U13" s="921">
        <v>2260</v>
      </c>
      <c r="V13" s="921">
        <f t="shared" si="4"/>
        <v>59277</v>
      </c>
      <c r="W13" s="921">
        <v>37589</v>
      </c>
      <c r="X13" s="921">
        <f t="shared" si="4"/>
        <v>86008</v>
      </c>
      <c r="Y13" s="921">
        <f>Y9</f>
        <v>59155</v>
      </c>
      <c r="Z13" s="921">
        <f t="shared" si="4"/>
        <v>1254</v>
      </c>
      <c r="AA13" s="921">
        <f>AA9</f>
        <v>858</v>
      </c>
      <c r="AB13" s="921">
        <f t="shared" si="4"/>
        <v>2028</v>
      </c>
      <c r="AC13" s="921">
        <f>AC9</f>
        <v>1266</v>
      </c>
      <c r="AD13" s="921">
        <f t="shared" si="4"/>
        <v>7385</v>
      </c>
      <c r="AE13" s="921">
        <v>9663</v>
      </c>
      <c r="AF13" s="921">
        <f>AF9</f>
        <v>62989</v>
      </c>
      <c r="AG13" s="921">
        <f>AG9</f>
        <v>50375</v>
      </c>
      <c r="AH13" s="921">
        <f>AH9</f>
        <v>14149</v>
      </c>
      <c r="AI13" s="921">
        <f>AI9</f>
        <v>7431</v>
      </c>
      <c r="AJ13" s="261">
        <f>SUM(AJ5:AJ11)</f>
        <v>7530</v>
      </c>
      <c r="AK13" s="921">
        <f>AK9</f>
        <v>5921</v>
      </c>
      <c r="AL13" s="923"/>
      <c r="AM13" s="1005"/>
      <c r="AN13" s="637">
        <f>SUM(AN5:AN11)</f>
        <v>35379</v>
      </c>
      <c r="AO13" s="73">
        <f>SUM(AO5:AO11)</f>
        <v>33213</v>
      </c>
      <c r="AP13" s="261">
        <f>SUM(AP5:AP11)</f>
        <v>8184</v>
      </c>
      <c r="AQ13" s="921">
        <f>AQ9</f>
        <v>5742</v>
      </c>
      <c r="AR13" s="921">
        <f>SUM(AR5:AR11)</f>
        <v>1678</v>
      </c>
      <c r="AS13" s="922">
        <v>1140</v>
      </c>
      <c r="AT13" s="924">
        <f>AT9</f>
        <v>50331</v>
      </c>
      <c r="AU13" s="261">
        <v>46844</v>
      </c>
      <c r="AV13" s="1014">
        <f t="shared" si="0"/>
        <v>499554</v>
      </c>
      <c r="AW13" s="263">
        <f t="shared" si="1"/>
        <v>394494</v>
      </c>
      <c r="AX13" s="921"/>
      <c r="AY13" s="921"/>
      <c r="AZ13" s="1014">
        <f t="shared" si="2"/>
        <v>499554</v>
      </c>
      <c r="BA13" s="1017">
        <f t="shared" si="3"/>
        <v>394494</v>
      </c>
    </row>
    <row r="14" spans="1:53" ht="14.25" x14ac:dyDescent="0.3">
      <c r="A14" s="103" t="s">
        <v>351</v>
      </c>
      <c r="B14" s="921"/>
      <c r="C14" s="921"/>
      <c r="D14" s="921"/>
      <c r="E14" s="921"/>
      <c r="F14" s="921"/>
      <c r="G14" s="921"/>
      <c r="H14" s="921"/>
      <c r="I14" s="921"/>
      <c r="J14" s="921"/>
      <c r="K14" s="921"/>
      <c r="L14" s="921"/>
      <c r="M14" s="921"/>
      <c r="N14" s="921"/>
      <c r="O14" s="921"/>
      <c r="P14" s="921"/>
      <c r="Q14" s="921"/>
      <c r="R14" s="921"/>
      <c r="S14" s="921"/>
      <c r="T14" s="921"/>
      <c r="U14" s="921"/>
      <c r="V14" s="921"/>
      <c r="W14" s="921"/>
      <c r="X14" s="921"/>
      <c r="Y14" s="921"/>
      <c r="Z14" s="921"/>
      <c r="AA14" s="921"/>
      <c r="AB14" s="921"/>
      <c r="AC14" s="921"/>
      <c r="AD14" s="921"/>
      <c r="AE14" s="921"/>
      <c r="AF14" s="921"/>
      <c r="AG14" s="921"/>
      <c r="AH14" s="921"/>
      <c r="AI14" s="921"/>
      <c r="AJ14" s="261"/>
      <c r="AK14" s="921"/>
      <c r="AL14" s="923"/>
      <c r="AM14" s="1005"/>
      <c r="AN14" s="637"/>
      <c r="AO14" s="73"/>
      <c r="AP14" s="261"/>
      <c r="AQ14" s="921"/>
      <c r="AR14" s="921"/>
      <c r="AS14" s="922"/>
      <c r="AT14" s="924"/>
      <c r="AU14" s="261"/>
      <c r="AV14" s="1014">
        <f t="shared" si="0"/>
        <v>0</v>
      </c>
      <c r="AW14" s="263">
        <f t="shared" si="1"/>
        <v>0</v>
      </c>
      <c r="AX14" s="921"/>
      <c r="AY14" s="921"/>
      <c r="AZ14" s="1014">
        <f t="shared" si="2"/>
        <v>0</v>
      </c>
      <c r="BA14" s="1017">
        <f t="shared" si="3"/>
        <v>0</v>
      </c>
    </row>
    <row r="15" spans="1:53" ht="14.25" x14ac:dyDescent="0.3">
      <c r="A15" s="71" t="s">
        <v>352</v>
      </c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1"/>
      <c r="AC15" s="921"/>
      <c r="AD15" s="921"/>
      <c r="AE15" s="921"/>
      <c r="AF15" s="921"/>
      <c r="AG15" s="921"/>
      <c r="AH15" s="921"/>
      <c r="AI15" s="921"/>
      <c r="AJ15" s="261"/>
      <c r="AK15" s="921"/>
      <c r="AL15" s="923"/>
      <c r="AM15" s="1005"/>
      <c r="AN15" s="637"/>
      <c r="AO15" s="73"/>
      <c r="AP15" s="261"/>
      <c r="AQ15" s="921"/>
      <c r="AR15" s="921"/>
      <c r="AS15" s="922"/>
      <c r="AT15" s="924"/>
      <c r="AU15" s="261"/>
      <c r="AV15" s="1014">
        <f t="shared" si="0"/>
        <v>0</v>
      </c>
      <c r="AW15" s="263">
        <f t="shared" si="1"/>
        <v>0</v>
      </c>
      <c r="AX15" s="921">
        <v>192831.21</v>
      </c>
      <c r="AY15" s="921">
        <v>238376.37</v>
      </c>
      <c r="AZ15" s="1014">
        <f t="shared" si="2"/>
        <v>192831.21</v>
      </c>
      <c r="BA15" s="1017">
        <f t="shared" si="3"/>
        <v>238376.37</v>
      </c>
    </row>
    <row r="16" spans="1:53" ht="14.25" x14ac:dyDescent="0.3">
      <c r="A16" s="71" t="s">
        <v>353</v>
      </c>
      <c r="B16" s="921"/>
      <c r="C16" s="921"/>
      <c r="D16" s="926"/>
      <c r="E16" s="926"/>
      <c r="F16" s="921"/>
      <c r="G16" s="921"/>
      <c r="H16" s="921"/>
      <c r="I16" s="921"/>
      <c r="J16" s="921"/>
      <c r="K16" s="921"/>
      <c r="L16" s="921"/>
      <c r="M16" s="921"/>
      <c r="N16" s="921"/>
      <c r="O16" s="921"/>
      <c r="P16" s="921"/>
      <c r="Q16" s="921"/>
      <c r="R16" s="921"/>
      <c r="S16" s="921"/>
      <c r="T16" s="921"/>
      <c r="U16" s="921"/>
      <c r="V16" s="921"/>
      <c r="W16" s="921"/>
      <c r="X16" s="921"/>
      <c r="Y16" s="921"/>
      <c r="Z16" s="921"/>
      <c r="AA16" s="921"/>
      <c r="AB16" s="921"/>
      <c r="AC16" s="921"/>
      <c r="AD16" s="921"/>
      <c r="AE16" s="921"/>
      <c r="AF16" s="921"/>
      <c r="AG16" s="921"/>
      <c r="AH16" s="921"/>
      <c r="AI16" s="921"/>
      <c r="AJ16" s="261"/>
      <c r="AK16" s="921"/>
      <c r="AL16" s="923"/>
      <c r="AM16" s="1005"/>
      <c r="AN16" s="637">
        <v>20252</v>
      </c>
      <c r="AO16" s="73">
        <v>23074</v>
      </c>
      <c r="AP16" s="261"/>
      <c r="AQ16" s="921"/>
      <c r="AR16" s="921"/>
      <c r="AS16" s="922"/>
      <c r="AT16" s="924"/>
      <c r="AU16" s="261"/>
      <c r="AV16" s="1014">
        <f t="shared" si="0"/>
        <v>20252</v>
      </c>
      <c r="AW16" s="263">
        <f t="shared" si="1"/>
        <v>23074</v>
      </c>
      <c r="AX16" s="921"/>
      <c r="AY16" s="921"/>
      <c r="AZ16" s="1014">
        <f t="shared" si="2"/>
        <v>20252</v>
      </c>
      <c r="BA16" s="1017">
        <f t="shared" si="3"/>
        <v>23074</v>
      </c>
    </row>
    <row r="17" spans="1:53" ht="14.25" x14ac:dyDescent="0.3">
      <c r="A17" s="71" t="s">
        <v>354</v>
      </c>
      <c r="B17" s="921"/>
      <c r="C17" s="921"/>
      <c r="D17" s="921"/>
      <c r="E17" s="921"/>
      <c r="F17" s="921"/>
      <c r="G17" s="921"/>
      <c r="H17" s="921"/>
      <c r="I17" s="921"/>
      <c r="J17" s="921"/>
      <c r="K17" s="921"/>
      <c r="L17" s="921"/>
      <c r="M17" s="921"/>
      <c r="N17" s="921"/>
      <c r="O17" s="921"/>
      <c r="P17" s="921"/>
      <c r="Q17" s="921"/>
      <c r="R17" s="921"/>
      <c r="S17" s="921"/>
      <c r="T17" s="921"/>
      <c r="U17" s="921"/>
      <c r="V17" s="921"/>
      <c r="W17" s="921"/>
      <c r="X17" s="921"/>
      <c r="Y17" s="921"/>
      <c r="Z17" s="921"/>
      <c r="AA17" s="921"/>
      <c r="AB17" s="921"/>
      <c r="AC17" s="921"/>
      <c r="AD17" s="921"/>
      <c r="AE17" s="921"/>
      <c r="AF17" s="921"/>
      <c r="AG17" s="921"/>
      <c r="AH17" s="921"/>
      <c r="AI17" s="921"/>
      <c r="AJ17" s="261"/>
      <c r="AK17" s="921"/>
      <c r="AL17" s="923"/>
      <c r="AM17" s="1005"/>
      <c r="AN17" s="637"/>
      <c r="AO17" s="73"/>
      <c r="AP17" s="261"/>
      <c r="AQ17" s="921"/>
      <c r="AR17" s="921"/>
      <c r="AS17" s="922"/>
      <c r="AT17" s="924"/>
      <c r="AU17" s="261"/>
      <c r="AV17" s="1014">
        <f t="shared" si="0"/>
        <v>0</v>
      </c>
      <c r="AW17" s="263">
        <f t="shared" si="1"/>
        <v>0</v>
      </c>
      <c r="AX17" s="921"/>
      <c r="AY17" s="921"/>
      <c r="AZ17" s="1014">
        <f t="shared" si="2"/>
        <v>0</v>
      </c>
      <c r="BA17" s="1017">
        <f t="shared" si="3"/>
        <v>0</v>
      </c>
    </row>
    <row r="18" spans="1:53" ht="14.25" x14ac:dyDescent="0.3">
      <c r="A18" s="71" t="s">
        <v>355</v>
      </c>
      <c r="B18" s="921"/>
      <c r="C18" s="921"/>
      <c r="D18" s="921"/>
      <c r="E18" s="921"/>
      <c r="F18" s="921"/>
      <c r="G18" s="921"/>
      <c r="H18" s="921"/>
      <c r="I18" s="921"/>
      <c r="J18" s="921"/>
      <c r="K18" s="921"/>
      <c r="L18" s="921"/>
      <c r="M18" s="921"/>
      <c r="N18" s="921"/>
      <c r="O18" s="921"/>
      <c r="P18" s="921"/>
      <c r="Q18" s="921"/>
      <c r="R18" s="921"/>
      <c r="S18" s="921"/>
      <c r="T18" s="921"/>
      <c r="U18" s="921"/>
      <c r="V18" s="921"/>
      <c r="W18" s="921"/>
      <c r="X18" s="921"/>
      <c r="Y18" s="921"/>
      <c r="Z18" s="921"/>
      <c r="AA18" s="921"/>
      <c r="AB18" s="921"/>
      <c r="AC18" s="921"/>
      <c r="AD18" s="921"/>
      <c r="AE18" s="921">
        <v>4335</v>
      </c>
      <c r="AF18" s="921"/>
      <c r="AG18" s="921"/>
      <c r="AH18" s="921"/>
      <c r="AI18" s="921"/>
      <c r="AJ18" s="261"/>
      <c r="AK18" s="921"/>
      <c r="AL18" s="923"/>
      <c r="AM18" s="1005"/>
      <c r="AN18" s="637"/>
      <c r="AO18" s="73"/>
      <c r="AP18" s="261"/>
      <c r="AQ18" s="921"/>
      <c r="AR18" s="921"/>
      <c r="AS18" s="922"/>
      <c r="AT18" s="924"/>
      <c r="AU18" s="261"/>
      <c r="AV18" s="1014">
        <f t="shared" si="0"/>
        <v>0</v>
      </c>
      <c r="AW18" s="263">
        <f t="shared" si="1"/>
        <v>4335</v>
      </c>
      <c r="AX18" s="921">
        <v>1141198.8899999999</v>
      </c>
      <c r="AY18" s="921">
        <v>1304389.18</v>
      </c>
      <c r="AZ18" s="1014">
        <f t="shared" si="2"/>
        <v>1141198.8899999999</v>
      </c>
      <c r="BA18" s="1017">
        <f t="shared" si="3"/>
        <v>1308724.18</v>
      </c>
    </row>
    <row r="19" spans="1:53" ht="14.25" x14ac:dyDescent="0.3">
      <c r="A19" s="71" t="s">
        <v>356</v>
      </c>
      <c r="B19" s="921">
        <f>B9</f>
        <v>27180</v>
      </c>
      <c r="C19" s="921">
        <f>C9</f>
        <v>19976</v>
      </c>
      <c r="D19" s="921">
        <v>262</v>
      </c>
      <c r="E19" s="921">
        <v>233</v>
      </c>
      <c r="F19" s="921"/>
      <c r="G19" s="921"/>
      <c r="H19" s="921">
        <f>H9</f>
        <v>51224</v>
      </c>
      <c r="I19" s="921">
        <f>I9</f>
        <v>45719</v>
      </c>
      <c r="J19" s="921">
        <f>J9</f>
        <v>2959</v>
      </c>
      <c r="K19" s="921">
        <f>K9</f>
        <v>2279</v>
      </c>
      <c r="L19" s="921"/>
      <c r="M19" s="921"/>
      <c r="N19" s="921">
        <v>8416</v>
      </c>
      <c r="O19" s="921">
        <v>5524</v>
      </c>
      <c r="P19" s="921">
        <f>P9</f>
        <v>1735</v>
      </c>
      <c r="Q19" s="921">
        <v>1360</v>
      </c>
      <c r="R19" s="921">
        <v>60505</v>
      </c>
      <c r="S19" s="921">
        <v>50877</v>
      </c>
      <c r="T19" s="921">
        <v>3408</v>
      </c>
      <c r="U19" s="921">
        <v>2251</v>
      </c>
      <c r="V19" s="921">
        <v>58277</v>
      </c>
      <c r="W19" s="921">
        <v>37589</v>
      </c>
      <c r="X19" s="921">
        <f>X13</f>
        <v>86008</v>
      </c>
      <c r="Y19" s="921">
        <f>Y9</f>
        <v>59155</v>
      </c>
      <c r="Z19" s="921">
        <f>Z13</f>
        <v>1254</v>
      </c>
      <c r="AA19" s="921">
        <f>AA9</f>
        <v>858</v>
      </c>
      <c r="AB19" s="921">
        <f>AB13</f>
        <v>2028</v>
      </c>
      <c r="AC19" s="921">
        <f>AC9</f>
        <v>1266</v>
      </c>
      <c r="AD19" s="921"/>
      <c r="AE19" s="921">
        <v>5328</v>
      </c>
      <c r="AF19" s="921">
        <f>AF13</f>
        <v>62989</v>
      </c>
      <c r="AG19" s="921">
        <f>AG9</f>
        <v>50375</v>
      </c>
      <c r="AH19" s="921">
        <f>AH9</f>
        <v>14149</v>
      </c>
      <c r="AI19" s="921">
        <f>AI9</f>
        <v>7431</v>
      </c>
      <c r="AJ19" s="261">
        <f>AJ13</f>
        <v>7530</v>
      </c>
      <c r="AK19" s="921">
        <f>AK9</f>
        <v>5921</v>
      </c>
      <c r="AL19" s="923"/>
      <c r="AM19" s="1005"/>
      <c r="AN19" s="637">
        <v>15127</v>
      </c>
      <c r="AO19" s="73">
        <v>10139</v>
      </c>
      <c r="AP19" s="261">
        <v>8184</v>
      </c>
      <c r="AQ19" s="921">
        <f>AQ9</f>
        <v>5742</v>
      </c>
      <c r="AR19" s="921">
        <f>AR13</f>
        <v>1678</v>
      </c>
      <c r="AS19" s="922">
        <v>1140</v>
      </c>
      <c r="AT19" s="924">
        <f>AT9</f>
        <v>50331</v>
      </c>
      <c r="AU19" s="261">
        <v>46844</v>
      </c>
      <c r="AV19" s="1014">
        <f t="shared" si="0"/>
        <v>463244</v>
      </c>
      <c r="AW19" s="263">
        <f t="shared" si="1"/>
        <v>360007</v>
      </c>
      <c r="AX19" s="921">
        <v>10426426.560000001</v>
      </c>
      <c r="AY19" s="921">
        <v>10016165.85</v>
      </c>
      <c r="AZ19" s="1014">
        <f t="shared" si="2"/>
        <v>10889670.560000001</v>
      </c>
      <c r="BA19" s="1017">
        <f t="shared" si="3"/>
        <v>10376172.85</v>
      </c>
    </row>
    <row r="20" spans="1:53" ht="14.25" x14ac:dyDescent="0.3">
      <c r="A20" s="71" t="s">
        <v>357</v>
      </c>
      <c r="B20" s="921"/>
      <c r="C20" s="921"/>
      <c r="D20" s="921">
        <v>6941</v>
      </c>
      <c r="E20" s="921">
        <v>6747</v>
      </c>
      <c r="F20" s="921"/>
      <c r="G20" s="921"/>
      <c r="H20" s="921"/>
      <c r="I20" s="921"/>
      <c r="J20" s="921"/>
      <c r="K20" s="921"/>
      <c r="L20" s="921"/>
      <c r="M20" s="921"/>
      <c r="N20" s="921"/>
      <c r="O20" s="921"/>
      <c r="P20" s="921">
        <f>P10</f>
        <v>35</v>
      </c>
      <c r="Q20" s="921">
        <v>22</v>
      </c>
      <c r="R20" s="921">
        <v>34</v>
      </c>
      <c r="S20" s="921">
        <v>23</v>
      </c>
      <c r="T20" s="921">
        <v>1</v>
      </c>
      <c r="U20" s="921">
        <v>9</v>
      </c>
      <c r="V20" s="921"/>
      <c r="W20" s="921"/>
      <c r="X20" s="921"/>
      <c r="Y20" s="921"/>
      <c r="Z20" s="921"/>
      <c r="AA20" s="921"/>
      <c r="AB20" s="921"/>
      <c r="AC20" s="921"/>
      <c r="AD20" s="921"/>
      <c r="AE20" s="921"/>
      <c r="AF20" s="921"/>
      <c r="AG20" s="921"/>
      <c r="AH20" s="921"/>
      <c r="AI20" s="921"/>
      <c r="AJ20" s="261"/>
      <c r="AK20" s="921"/>
      <c r="AL20" s="923"/>
      <c r="AM20" s="1005"/>
      <c r="AN20" s="637"/>
      <c r="AO20" s="73"/>
      <c r="AP20" s="261"/>
      <c r="AQ20" s="921"/>
      <c r="AR20" s="921"/>
      <c r="AS20" s="922"/>
      <c r="AT20" s="924"/>
      <c r="AU20" s="261"/>
      <c r="AV20" s="1014">
        <f t="shared" si="0"/>
        <v>7011</v>
      </c>
      <c r="AW20" s="263">
        <f t="shared" si="1"/>
        <v>6801</v>
      </c>
      <c r="AX20" s="921">
        <f>31110.24+5280.53+89563.03+616+36177.15+1999.98+312734.82+0.64</f>
        <v>477482.39</v>
      </c>
      <c r="AY20" s="921">
        <f>33597.3+6255.88+134587.09+616+40411.14+2666.64+346225.76+0.64</f>
        <v>564360.45000000007</v>
      </c>
      <c r="AZ20" s="1014">
        <f t="shared" si="2"/>
        <v>484493.39</v>
      </c>
      <c r="BA20" s="1017">
        <f t="shared" si="3"/>
        <v>571161.45000000007</v>
      </c>
    </row>
    <row r="21" spans="1:53" ht="14.25" x14ac:dyDescent="0.3">
      <c r="A21" s="920" t="s">
        <v>350</v>
      </c>
      <c r="B21" s="921"/>
      <c r="C21" s="921"/>
      <c r="D21" s="921"/>
      <c r="E21" s="921"/>
      <c r="F21" s="921"/>
      <c r="G21" s="921"/>
      <c r="H21" s="921"/>
      <c r="I21" s="921"/>
      <c r="J21" s="921"/>
      <c r="K21" s="921"/>
      <c r="L21" s="921"/>
      <c r="M21" s="921"/>
      <c r="N21" s="921"/>
      <c r="O21" s="921"/>
      <c r="P21" s="921"/>
      <c r="Q21" s="921"/>
      <c r="R21" s="921"/>
      <c r="S21" s="921"/>
      <c r="T21" s="921"/>
      <c r="U21" s="921"/>
      <c r="V21" s="921"/>
      <c r="W21" s="921"/>
      <c r="X21" s="921"/>
      <c r="Y21" s="921"/>
      <c r="Z21" s="921"/>
      <c r="AA21" s="921"/>
      <c r="AB21" s="921"/>
      <c r="AC21" s="921"/>
      <c r="AD21" s="921"/>
      <c r="AE21" s="921"/>
      <c r="AF21" s="921"/>
      <c r="AG21" s="921"/>
      <c r="AH21" s="921"/>
      <c r="AI21" s="921"/>
      <c r="AJ21" s="261"/>
      <c r="AK21" s="921"/>
      <c r="AL21" s="923"/>
      <c r="AM21" s="1005"/>
      <c r="AN21" s="637"/>
      <c r="AO21" s="73"/>
      <c r="AP21" s="261"/>
      <c r="AQ21" s="921"/>
      <c r="AR21" s="921"/>
      <c r="AS21" s="922"/>
      <c r="AT21" s="924"/>
      <c r="AU21" s="261"/>
      <c r="AV21" s="1014">
        <f t="shared" si="0"/>
        <v>0</v>
      </c>
      <c r="AW21" s="263">
        <f t="shared" si="1"/>
        <v>0</v>
      </c>
      <c r="AX21" s="921">
        <v>-1230947.1100000001</v>
      </c>
      <c r="AY21" s="921">
        <v>-1381001.67</v>
      </c>
      <c r="AZ21" s="1014"/>
      <c r="BA21" s="1017">
        <f t="shared" si="3"/>
        <v>-1381001.67</v>
      </c>
    </row>
    <row r="22" spans="1:53" ht="14.25" x14ac:dyDescent="0.3">
      <c r="A22" s="103" t="s">
        <v>54</v>
      </c>
      <c r="B22" s="921">
        <f>B9</f>
        <v>27180</v>
      </c>
      <c r="C22" s="921">
        <f>C9</f>
        <v>19976</v>
      </c>
      <c r="D22" s="926">
        <f>D19+D20</f>
        <v>7203</v>
      </c>
      <c r="E22" s="926">
        <v>6980</v>
      </c>
      <c r="F22" s="921"/>
      <c r="G22" s="921"/>
      <c r="H22" s="921">
        <f>H19</f>
        <v>51224</v>
      </c>
      <c r="I22" s="921">
        <f>I9</f>
        <v>45719</v>
      </c>
      <c r="J22" s="921">
        <f>J9</f>
        <v>2959</v>
      </c>
      <c r="K22" s="921">
        <f>K9</f>
        <v>2279</v>
      </c>
      <c r="L22" s="921">
        <f>L9</f>
        <v>661</v>
      </c>
      <c r="M22" s="921">
        <f>M9</f>
        <v>278</v>
      </c>
      <c r="N22" s="921">
        <f>N19</f>
        <v>8416</v>
      </c>
      <c r="O22" s="921">
        <v>5524</v>
      </c>
      <c r="P22" s="921">
        <f>P13</f>
        <v>1771</v>
      </c>
      <c r="Q22" s="921">
        <v>1382</v>
      </c>
      <c r="R22" s="921">
        <f>R13</f>
        <v>60539</v>
      </c>
      <c r="S22" s="921">
        <v>50899</v>
      </c>
      <c r="T22" s="921">
        <f>T13</f>
        <v>3409</v>
      </c>
      <c r="U22" s="921">
        <v>2260</v>
      </c>
      <c r="V22" s="921">
        <f>V13</f>
        <v>59277</v>
      </c>
      <c r="W22" s="921">
        <f>W9</f>
        <v>37589</v>
      </c>
      <c r="X22" s="921">
        <f>X13</f>
        <v>86008</v>
      </c>
      <c r="Y22" s="921">
        <f>Y9</f>
        <v>59155</v>
      </c>
      <c r="Z22" s="921">
        <f>Z19</f>
        <v>1254</v>
      </c>
      <c r="AA22" s="921">
        <f>AA9</f>
        <v>858</v>
      </c>
      <c r="AB22" s="921">
        <f>AB19</f>
        <v>2028</v>
      </c>
      <c r="AC22" s="921">
        <v>1266</v>
      </c>
      <c r="AD22" s="921">
        <f>AD13</f>
        <v>7385</v>
      </c>
      <c r="AE22" s="921">
        <v>9663</v>
      </c>
      <c r="AF22" s="921">
        <f>AF19</f>
        <v>62989</v>
      </c>
      <c r="AG22" s="921">
        <f>AG9</f>
        <v>50375</v>
      </c>
      <c r="AH22" s="921">
        <f>AH9</f>
        <v>14149</v>
      </c>
      <c r="AI22" s="921">
        <f>AI9</f>
        <v>7431</v>
      </c>
      <c r="AJ22" s="261">
        <f>AJ19</f>
        <v>7530</v>
      </c>
      <c r="AK22" s="921">
        <f>AK9</f>
        <v>5921</v>
      </c>
      <c r="AL22" s="923"/>
      <c r="AM22" s="1005"/>
      <c r="AN22" s="637">
        <f>AN13</f>
        <v>35379</v>
      </c>
      <c r="AO22" s="73">
        <f>AO13</f>
        <v>33213</v>
      </c>
      <c r="AP22" s="261">
        <f>AP9</f>
        <v>8184</v>
      </c>
      <c r="AQ22" s="921">
        <f>AQ9</f>
        <v>5742</v>
      </c>
      <c r="AR22" s="921">
        <f>AR19</f>
        <v>1678</v>
      </c>
      <c r="AS22" s="922">
        <v>1140</v>
      </c>
      <c r="AT22" s="924">
        <f>AT9</f>
        <v>50331</v>
      </c>
      <c r="AU22" s="261">
        <v>46844</v>
      </c>
      <c r="AV22" s="1014">
        <f t="shared" si="0"/>
        <v>499554</v>
      </c>
      <c r="AW22" s="263">
        <f t="shared" si="1"/>
        <v>394494</v>
      </c>
      <c r="AX22" s="921">
        <v>11006991.939999999</v>
      </c>
      <c r="AY22" s="921">
        <v>10742290.08</v>
      </c>
      <c r="AZ22" s="1014">
        <f t="shared" ref="AZ22:AZ30" si="5">AV22+AX22</f>
        <v>11506545.939999999</v>
      </c>
      <c r="BA22" s="1017">
        <f t="shared" si="3"/>
        <v>11136784.08</v>
      </c>
    </row>
    <row r="23" spans="1:53" ht="14.25" x14ac:dyDescent="0.3">
      <c r="A23" s="103" t="s">
        <v>358</v>
      </c>
      <c r="B23" s="921"/>
      <c r="C23" s="921"/>
      <c r="D23" s="921"/>
      <c r="E23" s="921"/>
      <c r="F23" s="921"/>
      <c r="G23" s="921"/>
      <c r="H23" s="921"/>
      <c r="I23" s="921"/>
      <c r="J23" s="921"/>
      <c r="K23" s="921"/>
      <c r="L23" s="921"/>
      <c r="M23" s="921"/>
      <c r="N23" s="921"/>
      <c r="O23" s="921"/>
      <c r="P23" s="921"/>
      <c r="Q23" s="921"/>
      <c r="R23" s="921"/>
      <c r="S23" s="921"/>
      <c r="T23" s="921"/>
      <c r="U23" s="921"/>
      <c r="V23" s="921"/>
      <c r="W23" s="921"/>
      <c r="X23" s="921"/>
      <c r="Y23" s="921"/>
      <c r="Z23" s="921"/>
      <c r="AA23" s="921"/>
      <c r="AB23" s="921"/>
      <c r="AC23" s="921"/>
      <c r="AD23" s="921"/>
      <c r="AE23" s="921"/>
      <c r="AF23" s="921"/>
      <c r="AG23" s="921"/>
      <c r="AH23" s="921"/>
      <c r="AI23" s="921"/>
      <c r="AJ23" s="261"/>
      <c r="AK23" s="921"/>
      <c r="AL23" s="923"/>
      <c r="AM23" s="1005"/>
      <c r="AN23" s="637"/>
      <c r="AO23" s="73"/>
      <c r="AP23" s="261"/>
      <c r="AQ23" s="921"/>
      <c r="AR23" s="921"/>
      <c r="AS23" s="922"/>
      <c r="AT23" s="924"/>
      <c r="AU23" s="261"/>
      <c r="AV23" s="1014">
        <f t="shared" si="0"/>
        <v>0</v>
      </c>
      <c r="AW23" s="263">
        <f t="shared" si="1"/>
        <v>0</v>
      </c>
      <c r="AX23" s="921"/>
      <c r="AY23" s="921"/>
      <c r="AZ23" s="1014">
        <f t="shared" si="5"/>
        <v>0</v>
      </c>
      <c r="BA23" s="1017">
        <f t="shared" si="3"/>
        <v>0</v>
      </c>
    </row>
    <row r="24" spans="1:53" ht="14.25" x14ac:dyDescent="0.3">
      <c r="A24" s="71" t="s">
        <v>359</v>
      </c>
      <c r="B24" s="921"/>
      <c r="C24" s="921"/>
      <c r="D24" s="921"/>
      <c r="E24" s="921"/>
      <c r="F24" s="921"/>
      <c r="G24" s="921"/>
      <c r="H24" s="921"/>
      <c r="I24" s="921"/>
      <c r="J24" s="921"/>
      <c r="K24" s="921"/>
      <c r="L24" s="921"/>
      <c r="M24" s="921"/>
      <c r="N24" s="921"/>
      <c r="O24" s="921"/>
      <c r="P24" s="921"/>
      <c r="Q24" s="921"/>
      <c r="R24" s="921"/>
      <c r="S24" s="921"/>
      <c r="T24" s="921"/>
      <c r="U24" s="921"/>
      <c r="V24" s="921"/>
      <c r="W24" s="921"/>
      <c r="X24" s="921"/>
      <c r="Y24" s="921"/>
      <c r="Z24" s="921"/>
      <c r="AA24" s="921"/>
      <c r="AB24" s="921"/>
      <c r="AC24" s="921"/>
      <c r="AD24" s="921"/>
      <c r="AE24" s="921"/>
      <c r="AF24" s="921"/>
      <c r="AG24" s="921"/>
      <c r="AH24" s="921"/>
      <c r="AI24" s="921"/>
      <c r="AJ24" s="261"/>
      <c r="AK24" s="921"/>
      <c r="AL24" s="923"/>
      <c r="AM24" s="1005"/>
      <c r="AN24" s="637"/>
      <c r="AO24" s="73"/>
      <c r="AP24" s="261"/>
      <c r="AQ24" s="921"/>
      <c r="AR24" s="921"/>
      <c r="AS24" s="922"/>
      <c r="AT24" s="924"/>
      <c r="AU24" s="261"/>
      <c r="AV24" s="1014">
        <f t="shared" si="0"/>
        <v>0</v>
      </c>
      <c r="AW24" s="263">
        <f t="shared" si="1"/>
        <v>0</v>
      </c>
      <c r="AX24" s="921"/>
      <c r="AY24" s="921"/>
      <c r="AZ24" s="1014">
        <f t="shared" si="5"/>
        <v>0</v>
      </c>
      <c r="BA24" s="1017">
        <f t="shared" si="3"/>
        <v>0</v>
      </c>
    </row>
    <row r="25" spans="1:53" ht="14.25" x14ac:dyDescent="0.3">
      <c r="A25" s="71" t="s">
        <v>360</v>
      </c>
      <c r="B25" s="921">
        <f>B9</f>
        <v>27180</v>
      </c>
      <c r="C25" s="921">
        <f>C9</f>
        <v>19976</v>
      </c>
      <c r="D25" s="926">
        <f>D22</f>
        <v>7203</v>
      </c>
      <c r="E25" s="926">
        <v>6980</v>
      </c>
      <c r="F25" s="921"/>
      <c r="G25" s="921"/>
      <c r="H25" s="921">
        <f>H22</f>
        <v>51224</v>
      </c>
      <c r="I25" s="921">
        <f>I9</f>
        <v>45719</v>
      </c>
      <c r="J25" s="921">
        <f>J9</f>
        <v>2959</v>
      </c>
      <c r="K25" s="921">
        <f>K9</f>
        <v>2279</v>
      </c>
      <c r="L25" s="921">
        <f>L9</f>
        <v>661</v>
      </c>
      <c r="M25" s="921">
        <f>M9</f>
        <v>278</v>
      </c>
      <c r="N25" s="921">
        <f>N19</f>
        <v>8416</v>
      </c>
      <c r="O25" s="921">
        <v>5524</v>
      </c>
      <c r="P25" s="921">
        <f>P22</f>
        <v>1771</v>
      </c>
      <c r="Q25" s="921">
        <v>1382</v>
      </c>
      <c r="R25" s="921">
        <f>R22</f>
        <v>60539</v>
      </c>
      <c r="S25" s="921">
        <v>50899</v>
      </c>
      <c r="T25" s="921">
        <v>3408</v>
      </c>
      <c r="U25" s="921">
        <v>2260</v>
      </c>
      <c r="V25" s="921">
        <f t="shared" ref="V25:AF25" si="6">V22</f>
        <v>59277</v>
      </c>
      <c r="W25" s="921">
        <f>W9</f>
        <v>37589</v>
      </c>
      <c r="X25" s="921">
        <f t="shared" si="6"/>
        <v>86008</v>
      </c>
      <c r="Y25" s="921">
        <f>Y9</f>
        <v>59155</v>
      </c>
      <c r="Z25" s="921">
        <f t="shared" si="6"/>
        <v>1254</v>
      </c>
      <c r="AA25" s="921">
        <f>AA9</f>
        <v>858</v>
      </c>
      <c r="AB25" s="921">
        <f t="shared" si="6"/>
        <v>2028</v>
      </c>
      <c r="AC25" s="921">
        <v>1266</v>
      </c>
      <c r="AD25" s="921">
        <f t="shared" si="6"/>
        <v>7385</v>
      </c>
      <c r="AE25" s="921">
        <v>9663</v>
      </c>
      <c r="AF25" s="921">
        <f t="shared" si="6"/>
        <v>62989</v>
      </c>
      <c r="AG25" s="921">
        <f>AG9</f>
        <v>50375</v>
      </c>
      <c r="AH25" s="921">
        <f>AH9</f>
        <v>14149</v>
      </c>
      <c r="AI25" s="921">
        <f>AI9</f>
        <v>7431</v>
      </c>
      <c r="AJ25" s="261">
        <f>AJ22</f>
        <v>7530</v>
      </c>
      <c r="AK25" s="921">
        <f>AK9</f>
        <v>5921</v>
      </c>
      <c r="AL25" s="923"/>
      <c r="AM25" s="1005"/>
      <c r="AN25" s="637">
        <f>AN22</f>
        <v>35379</v>
      </c>
      <c r="AO25" s="73">
        <v>33213</v>
      </c>
      <c r="AP25" s="261">
        <f>AP9</f>
        <v>8184</v>
      </c>
      <c r="AQ25" s="921">
        <f>AQ9</f>
        <v>5742</v>
      </c>
      <c r="AR25" s="921">
        <f>AR22</f>
        <v>1678</v>
      </c>
      <c r="AS25" s="922">
        <v>1140</v>
      </c>
      <c r="AT25" s="924">
        <f>AT9</f>
        <v>50331</v>
      </c>
      <c r="AU25" s="261">
        <v>46844</v>
      </c>
      <c r="AV25" s="1014">
        <f t="shared" si="0"/>
        <v>499553</v>
      </c>
      <c r="AW25" s="263">
        <f t="shared" si="1"/>
        <v>394494</v>
      </c>
      <c r="AX25" s="921">
        <v>110255864.29000001</v>
      </c>
      <c r="AY25" s="921">
        <v>10731233.210000001</v>
      </c>
      <c r="AZ25" s="1014">
        <f t="shared" si="5"/>
        <v>110755417.29000001</v>
      </c>
      <c r="BA25" s="1017">
        <f t="shared" si="3"/>
        <v>11125727.210000001</v>
      </c>
    </row>
    <row r="26" spans="1:53" ht="14.25" x14ac:dyDescent="0.3">
      <c r="A26" s="71" t="s">
        <v>361</v>
      </c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21"/>
      <c r="AG26" s="921"/>
      <c r="AH26" s="921"/>
      <c r="AI26" s="921"/>
      <c r="AJ26" s="261"/>
      <c r="AK26" s="921"/>
      <c r="AL26" s="923"/>
      <c r="AM26" s="1005"/>
      <c r="AN26" s="637"/>
      <c r="AO26" s="73"/>
      <c r="AP26" s="261"/>
      <c r="AQ26" s="921"/>
      <c r="AR26" s="921"/>
      <c r="AS26" s="922"/>
      <c r="AT26" s="924"/>
      <c r="AU26" s="261"/>
      <c r="AV26" s="1014">
        <f t="shared" si="0"/>
        <v>0</v>
      </c>
      <c r="AW26" s="263">
        <f t="shared" si="1"/>
        <v>0</v>
      </c>
      <c r="AX26" s="921">
        <v>14775.99</v>
      </c>
      <c r="AY26" s="921">
        <v>17040.14</v>
      </c>
      <c r="AZ26" s="1014">
        <f t="shared" si="5"/>
        <v>14775.99</v>
      </c>
      <c r="BA26" s="1017">
        <f t="shared" si="3"/>
        <v>17040.14</v>
      </c>
    </row>
    <row r="27" spans="1:53" ht="14.25" x14ac:dyDescent="0.3">
      <c r="A27" s="920" t="s">
        <v>362</v>
      </c>
      <c r="B27" s="921"/>
      <c r="C27" s="921"/>
      <c r="D27" s="921"/>
      <c r="E27" s="921"/>
      <c r="F27" s="921"/>
      <c r="G27" s="921"/>
      <c r="H27" s="921"/>
      <c r="I27" s="921"/>
      <c r="J27" s="921"/>
      <c r="K27" s="921"/>
      <c r="L27" s="921"/>
      <c r="M27" s="921"/>
      <c r="N27" s="921"/>
      <c r="O27" s="921"/>
      <c r="P27" s="921"/>
      <c r="Q27" s="921"/>
      <c r="R27" s="921"/>
      <c r="S27" s="921"/>
      <c r="T27" s="921"/>
      <c r="U27" s="921"/>
      <c r="V27" s="921"/>
      <c r="W27" s="921"/>
      <c r="X27" s="921"/>
      <c r="Y27" s="921"/>
      <c r="Z27" s="921"/>
      <c r="AA27" s="921"/>
      <c r="AB27" s="921"/>
      <c r="AC27" s="921"/>
      <c r="AD27" s="921"/>
      <c r="AE27" s="921"/>
      <c r="AF27" s="921"/>
      <c r="AG27" s="921"/>
      <c r="AH27" s="921"/>
      <c r="AI27" s="921"/>
      <c r="AJ27" s="261"/>
      <c r="AK27" s="921"/>
      <c r="AL27" s="923"/>
      <c r="AM27" s="1005"/>
      <c r="AN27" s="637"/>
      <c r="AO27" s="73"/>
      <c r="AP27" s="261"/>
      <c r="AQ27" s="921"/>
      <c r="AR27" s="921"/>
      <c r="AS27" s="922"/>
      <c r="AT27" s="924"/>
      <c r="AU27" s="261"/>
      <c r="AV27" s="1014">
        <f t="shared" si="0"/>
        <v>0</v>
      </c>
      <c r="AW27" s="263">
        <f t="shared" si="1"/>
        <v>0</v>
      </c>
      <c r="AX27" s="921">
        <v>-55318.05</v>
      </c>
      <c r="AY27" s="921">
        <v>-49857.05</v>
      </c>
      <c r="AZ27" s="1014">
        <f t="shared" si="5"/>
        <v>-55318.05</v>
      </c>
      <c r="BA27" s="1017">
        <f t="shared" si="3"/>
        <v>-49857.05</v>
      </c>
    </row>
    <row r="28" spans="1:53" ht="14.25" x14ac:dyDescent="0.3">
      <c r="A28" s="71" t="s">
        <v>363</v>
      </c>
      <c r="B28" s="921"/>
      <c r="C28" s="921"/>
      <c r="D28" s="921"/>
      <c r="E28" s="921"/>
      <c r="F28" s="921"/>
      <c r="G28" s="921"/>
      <c r="H28" s="921"/>
      <c r="I28" s="921"/>
      <c r="J28" s="921"/>
      <c r="K28" s="921"/>
      <c r="L28" s="921"/>
      <c r="M28" s="921"/>
      <c r="N28" s="921"/>
      <c r="O28" s="921"/>
      <c r="P28" s="921"/>
      <c r="Q28" s="921"/>
      <c r="R28" s="921"/>
      <c r="S28" s="921"/>
      <c r="T28" s="921"/>
      <c r="U28" s="921"/>
      <c r="V28" s="921"/>
      <c r="W28" s="921"/>
      <c r="X28" s="921"/>
      <c r="Y28" s="921"/>
      <c r="Z28" s="921"/>
      <c r="AA28" s="921"/>
      <c r="AB28" s="921"/>
      <c r="AC28" s="921"/>
      <c r="AD28" s="921"/>
      <c r="AE28" s="921"/>
      <c r="AF28" s="921"/>
      <c r="AG28" s="921"/>
      <c r="AH28" s="921"/>
      <c r="AI28" s="921"/>
      <c r="AJ28" s="261"/>
      <c r="AK28" s="921"/>
      <c r="AL28" s="923"/>
      <c r="AM28" s="1005"/>
      <c r="AN28" s="637"/>
      <c r="AO28" s="73"/>
      <c r="AP28" s="261"/>
      <c r="AQ28" s="921"/>
      <c r="AR28" s="921"/>
      <c r="AS28" s="922"/>
      <c r="AT28" s="924"/>
      <c r="AU28" s="261"/>
      <c r="AV28" s="1014">
        <f t="shared" si="0"/>
        <v>0</v>
      </c>
      <c r="AW28" s="263">
        <f t="shared" si="1"/>
        <v>0</v>
      </c>
      <c r="AX28" s="921"/>
      <c r="AY28" s="921"/>
      <c r="AZ28" s="1014">
        <f t="shared" si="5"/>
        <v>0</v>
      </c>
      <c r="BA28" s="1017">
        <f t="shared" si="3"/>
        <v>0</v>
      </c>
    </row>
    <row r="29" spans="1:53" ht="14.25" x14ac:dyDescent="0.3">
      <c r="A29" s="71" t="s">
        <v>360</v>
      </c>
      <c r="B29" s="921"/>
      <c r="C29" s="921"/>
      <c r="D29" s="921"/>
      <c r="E29" s="921"/>
      <c r="F29" s="921"/>
      <c r="G29" s="921"/>
      <c r="H29" s="921"/>
      <c r="I29" s="921"/>
      <c r="J29" s="921"/>
      <c r="K29" s="921"/>
      <c r="L29" s="921"/>
      <c r="M29" s="921"/>
      <c r="N29" s="921"/>
      <c r="O29" s="921"/>
      <c r="P29" s="921"/>
      <c r="Q29" s="921"/>
      <c r="R29" s="921"/>
      <c r="S29" s="921"/>
      <c r="T29" s="921">
        <v>1</v>
      </c>
      <c r="U29" s="921">
        <v>9</v>
      </c>
      <c r="V29" s="921"/>
      <c r="W29" s="921"/>
      <c r="X29" s="921"/>
      <c r="Y29" s="921"/>
      <c r="Z29" s="921"/>
      <c r="AA29" s="921"/>
      <c r="AB29" s="921"/>
      <c r="AC29" s="921"/>
      <c r="AD29" s="921"/>
      <c r="AE29" s="921"/>
      <c r="AF29" s="921"/>
      <c r="AG29" s="921"/>
      <c r="AH29" s="921"/>
      <c r="AI29" s="921"/>
      <c r="AJ29" s="261"/>
      <c r="AK29" s="921"/>
      <c r="AL29" s="923"/>
      <c r="AM29" s="1005"/>
      <c r="AN29" s="637"/>
      <c r="AO29" s="73"/>
      <c r="AP29" s="261"/>
      <c r="AQ29" s="921"/>
      <c r="AR29" s="921"/>
      <c r="AS29" s="922"/>
      <c r="AT29" s="924"/>
      <c r="AU29" s="261"/>
      <c r="AV29" s="1014">
        <f t="shared" si="0"/>
        <v>1</v>
      </c>
      <c r="AW29" s="263">
        <f t="shared" si="1"/>
        <v>9</v>
      </c>
      <c r="AX29" s="921">
        <v>1096347.6200000001</v>
      </c>
      <c r="AY29" s="921">
        <v>1373914.39</v>
      </c>
      <c r="AZ29" s="1014">
        <f t="shared" si="5"/>
        <v>1096348.6200000001</v>
      </c>
      <c r="BA29" s="1017">
        <f t="shared" si="3"/>
        <v>1373923.39</v>
      </c>
    </row>
    <row r="30" spans="1:53" ht="14.25" x14ac:dyDescent="0.3">
      <c r="A30" s="71" t="s">
        <v>364</v>
      </c>
      <c r="B30" s="921"/>
      <c r="C30" s="921"/>
      <c r="D30" s="921"/>
      <c r="E30" s="921"/>
      <c r="F30" s="921"/>
      <c r="G30" s="921"/>
      <c r="H30" s="921"/>
      <c r="I30" s="921"/>
      <c r="J30" s="921"/>
      <c r="K30" s="921"/>
      <c r="L30" s="921"/>
      <c r="M30" s="921"/>
      <c r="N30" s="921"/>
      <c r="O30" s="921"/>
      <c r="P30" s="921"/>
      <c r="Q30" s="921"/>
      <c r="R30" s="921"/>
      <c r="S30" s="921"/>
      <c r="T30" s="921"/>
      <c r="U30" s="921"/>
      <c r="V30" s="921"/>
      <c r="W30" s="921"/>
      <c r="X30" s="921"/>
      <c r="Y30" s="921"/>
      <c r="Z30" s="921"/>
      <c r="AA30" s="921"/>
      <c r="AB30" s="921"/>
      <c r="AC30" s="921"/>
      <c r="AD30" s="921"/>
      <c r="AE30" s="921"/>
      <c r="AF30" s="921"/>
      <c r="AG30" s="921"/>
      <c r="AH30" s="921"/>
      <c r="AI30" s="921"/>
      <c r="AJ30" s="261"/>
      <c r="AK30" s="921"/>
      <c r="AL30" s="923"/>
      <c r="AM30" s="1005"/>
      <c r="AN30" s="637"/>
      <c r="AO30" s="73"/>
      <c r="AP30" s="261"/>
      <c r="AQ30" s="921"/>
      <c r="AR30" s="921"/>
      <c r="AS30" s="922"/>
      <c r="AT30" s="924"/>
      <c r="AU30" s="261"/>
      <c r="AV30" s="1014">
        <f t="shared" si="0"/>
        <v>0</v>
      </c>
      <c r="AW30" s="263">
        <f t="shared" si="1"/>
        <v>0</v>
      </c>
      <c r="AX30" s="921">
        <v>951.15</v>
      </c>
      <c r="AY30" s="921">
        <v>1104.1099999999999</v>
      </c>
      <c r="AZ30" s="1014">
        <f t="shared" si="5"/>
        <v>951.15</v>
      </c>
      <c r="BA30" s="1017">
        <f t="shared" si="3"/>
        <v>1104.1099999999999</v>
      </c>
    </row>
    <row r="31" spans="1:53" ht="14.25" x14ac:dyDescent="0.3">
      <c r="A31" s="920" t="s">
        <v>365</v>
      </c>
      <c r="B31" s="921"/>
      <c r="C31" s="921"/>
      <c r="D31" s="921"/>
      <c r="E31" s="921"/>
      <c r="F31" s="921"/>
      <c r="G31" s="921"/>
      <c r="H31" s="921"/>
      <c r="I31" s="921"/>
      <c r="J31" s="921"/>
      <c r="K31" s="921"/>
      <c r="L31" s="921"/>
      <c r="M31" s="921"/>
      <c r="N31" s="921"/>
      <c r="O31" s="921"/>
      <c r="P31" s="921"/>
      <c r="Q31" s="921"/>
      <c r="R31" s="921"/>
      <c r="S31" s="921"/>
      <c r="T31" s="921"/>
      <c r="U31" s="921"/>
      <c r="V31" s="921"/>
      <c r="W31" s="921"/>
      <c r="X31" s="921"/>
      <c r="Y31" s="921"/>
      <c r="Z31" s="921"/>
      <c r="AA31" s="921"/>
      <c r="AB31" s="921"/>
      <c r="AC31" s="921"/>
      <c r="AD31" s="921"/>
      <c r="AE31" s="921"/>
      <c r="AF31" s="921"/>
      <c r="AG31" s="921"/>
      <c r="AH31" s="921"/>
      <c r="AI31" s="921"/>
      <c r="AJ31" s="261"/>
      <c r="AK31" s="921"/>
      <c r="AL31" s="923"/>
      <c r="AM31" s="1005"/>
      <c r="AN31" s="637"/>
      <c r="AO31" s="73"/>
      <c r="AP31" s="261"/>
      <c r="AQ31" s="921"/>
      <c r="AR31" s="921"/>
      <c r="AS31" s="922"/>
      <c r="AT31" s="924"/>
      <c r="AU31" s="261"/>
      <c r="AV31" s="1014">
        <f t="shared" si="0"/>
        <v>0</v>
      </c>
      <c r="AW31" s="263">
        <f t="shared" si="1"/>
        <v>0</v>
      </c>
      <c r="AX31" s="921">
        <v>-1175629.06</v>
      </c>
      <c r="AY31" s="921">
        <v>-1331144.6200000001</v>
      </c>
      <c r="AZ31" s="1014"/>
      <c r="BA31" s="1017">
        <f t="shared" si="3"/>
        <v>-1331144.6200000001</v>
      </c>
    </row>
    <row r="32" spans="1:53" ht="14.25" x14ac:dyDescent="0.3">
      <c r="A32" s="103" t="s">
        <v>54</v>
      </c>
      <c r="B32" s="921">
        <f>B25</f>
        <v>27180</v>
      </c>
      <c r="C32" s="921">
        <f>C13</f>
        <v>19976</v>
      </c>
      <c r="D32" s="926">
        <f>D25</f>
        <v>7203</v>
      </c>
      <c r="E32" s="926">
        <v>6980</v>
      </c>
      <c r="F32" s="921"/>
      <c r="G32" s="921"/>
      <c r="H32" s="921">
        <f>H25</f>
        <v>51224</v>
      </c>
      <c r="I32" s="921">
        <f>I9</f>
        <v>45719</v>
      </c>
      <c r="J32" s="921">
        <f>J9</f>
        <v>2959</v>
      </c>
      <c r="K32" s="921">
        <f>K9</f>
        <v>2279</v>
      </c>
      <c r="L32" s="921">
        <f>L9</f>
        <v>661</v>
      </c>
      <c r="M32" s="921">
        <f>M9</f>
        <v>278</v>
      </c>
      <c r="N32" s="921">
        <f>N25</f>
        <v>8416</v>
      </c>
      <c r="O32" s="921">
        <v>5524</v>
      </c>
      <c r="P32" s="921">
        <f>P25</f>
        <v>1771</v>
      </c>
      <c r="Q32" s="921">
        <v>1382</v>
      </c>
      <c r="R32" s="921">
        <f>R25</f>
        <v>60539</v>
      </c>
      <c r="S32" s="921">
        <v>50899</v>
      </c>
      <c r="T32" s="921">
        <f>T22</f>
        <v>3409</v>
      </c>
      <c r="U32" s="921">
        <v>2268</v>
      </c>
      <c r="V32" s="921">
        <f t="shared" ref="V32:AF32" si="7">V25</f>
        <v>59277</v>
      </c>
      <c r="W32" s="921">
        <f>W9</f>
        <v>37589</v>
      </c>
      <c r="X32" s="921">
        <f t="shared" si="7"/>
        <v>86008</v>
      </c>
      <c r="Y32" s="921">
        <f>Y9</f>
        <v>59155</v>
      </c>
      <c r="Z32" s="921">
        <f t="shared" si="7"/>
        <v>1254</v>
      </c>
      <c r="AA32" s="921">
        <f>AA9</f>
        <v>858</v>
      </c>
      <c r="AB32" s="921">
        <f t="shared" si="7"/>
        <v>2028</v>
      </c>
      <c r="AC32" s="921">
        <v>1266</v>
      </c>
      <c r="AD32" s="921">
        <f t="shared" si="7"/>
        <v>7385</v>
      </c>
      <c r="AE32" s="921">
        <v>9663</v>
      </c>
      <c r="AF32" s="921">
        <f t="shared" si="7"/>
        <v>62989</v>
      </c>
      <c r="AG32" s="921">
        <f>AG9</f>
        <v>50375</v>
      </c>
      <c r="AH32" s="921">
        <f>AH9</f>
        <v>14149</v>
      </c>
      <c r="AI32" s="921">
        <f>AI9</f>
        <v>7431</v>
      </c>
      <c r="AJ32" s="261">
        <f>AJ25</f>
        <v>7530</v>
      </c>
      <c r="AK32" s="921">
        <f>AK9</f>
        <v>5921</v>
      </c>
      <c r="AL32" s="923"/>
      <c r="AM32" s="1005"/>
      <c r="AN32" s="637">
        <f>AN25</f>
        <v>35379</v>
      </c>
      <c r="AO32" s="73">
        <v>33213</v>
      </c>
      <c r="AP32" s="261">
        <f>AP9</f>
        <v>8184</v>
      </c>
      <c r="AQ32" s="921">
        <f>AQ9</f>
        <v>5742</v>
      </c>
      <c r="AR32" s="921">
        <f>AR25</f>
        <v>1678</v>
      </c>
      <c r="AS32" s="922">
        <v>1140</v>
      </c>
      <c r="AT32" s="924">
        <f>AT9</f>
        <v>50331</v>
      </c>
      <c r="AU32" s="261">
        <v>46844</v>
      </c>
      <c r="AV32" s="1014">
        <f t="shared" si="0"/>
        <v>499554</v>
      </c>
      <c r="AW32" s="263">
        <f t="shared" si="1"/>
        <v>394502</v>
      </c>
      <c r="AX32" s="921">
        <v>11006991.939999999</v>
      </c>
      <c r="AY32" s="921">
        <v>10742290.18</v>
      </c>
      <c r="AZ32" s="1014">
        <f>AV32+AX32</f>
        <v>11506545.939999999</v>
      </c>
      <c r="BA32" s="1017">
        <f t="shared" si="3"/>
        <v>11136792.18</v>
      </c>
    </row>
    <row r="33" spans="1:53" ht="14.25" x14ac:dyDescent="0.3">
      <c r="A33" s="103" t="s">
        <v>366</v>
      </c>
      <c r="B33" s="921"/>
      <c r="C33" s="921"/>
      <c r="D33" s="921"/>
      <c r="E33" s="921"/>
      <c r="F33" s="921"/>
      <c r="G33" s="921"/>
      <c r="H33" s="921"/>
      <c r="I33" s="921"/>
      <c r="J33" s="921"/>
      <c r="K33" s="921"/>
      <c r="L33" s="921"/>
      <c r="M33" s="921"/>
      <c r="N33" s="921"/>
      <c r="O33" s="921"/>
      <c r="P33" s="921"/>
      <c r="Q33" s="921"/>
      <c r="R33" s="921"/>
      <c r="S33" s="921"/>
      <c r="T33" s="921"/>
      <c r="U33" s="921"/>
      <c r="V33" s="921"/>
      <c r="W33" s="921"/>
      <c r="X33" s="921"/>
      <c r="Y33" s="921"/>
      <c r="Z33" s="921"/>
      <c r="AA33" s="921"/>
      <c r="AB33" s="921"/>
      <c r="AC33" s="921"/>
      <c r="AD33" s="921"/>
      <c r="AE33" s="921"/>
      <c r="AF33" s="921"/>
      <c r="AG33" s="921"/>
      <c r="AH33" s="921"/>
      <c r="AI33" s="921"/>
      <c r="AJ33" s="261"/>
      <c r="AK33" s="921"/>
      <c r="AL33" s="923"/>
      <c r="AM33" s="1005"/>
      <c r="AN33" s="637"/>
      <c r="AO33" s="73"/>
      <c r="AP33" s="261"/>
      <c r="AQ33" s="921"/>
      <c r="AR33" s="921"/>
      <c r="AS33" s="922"/>
      <c r="AT33" s="924"/>
      <c r="AU33" s="261"/>
      <c r="AV33" s="1014">
        <f t="shared" si="0"/>
        <v>0</v>
      </c>
      <c r="AW33" s="263">
        <f t="shared" si="1"/>
        <v>0</v>
      </c>
      <c r="AX33" s="921"/>
      <c r="AY33" s="921"/>
      <c r="AZ33" s="1014">
        <f>AV33+AX33</f>
        <v>0</v>
      </c>
      <c r="BA33" s="1017">
        <f t="shared" si="3"/>
        <v>0</v>
      </c>
    </row>
    <row r="34" spans="1:53" ht="14.25" x14ac:dyDescent="0.3">
      <c r="A34" s="71" t="s">
        <v>367</v>
      </c>
      <c r="B34" s="921">
        <v>332</v>
      </c>
      <c r="C34" s="921">
        <v>354</v>
      </c>
      <c r="D34" s="921">
        <v>6</v>
      </c>
      <c r="E34" s="921"/>
      <c r="F34" s="921"/>
      <c r="G34" s="921"/>
      <c r="H34" s="921">
        <v>5742</v>
      </c>
      <c r="I34" s="921">
        <v>3080</v>
      </c>
      <c r="J34" s="921"/>
      <c r="K34" s="921"/>
      <c r="L34" s="921"/>
      <c r="M34" s="921"/>
      <c r="N34" s="921">
        <v>241</v>
      </c>
      <c r="O34" s="921">
        <v>118</v>
      </c>
      <c r="P34" s="921">
        <v>35</v>
      </c>
      <c r="Q34" s="921">
        <v>22</v>
      </c>
      <c r="R34" s="921">
        <v>3309</v>
      </c>
      <c r="S34" s="921">
        <v>3095</v>
      </c>
      <c r="T34" s="921">
        <v>1</v>
      </c>
      <c r="U34" s="921">
        <v>9</v>
      </c>
      <c r="V34" s="921">
        <v>17788</v>
      </c>
      <c r="W34" s="921">
        <v>13654</v>
      </c>
      <c r="X34" s="921">
        <v>933</v>
      </c>
      <c r="Y34" s="921">
        <v>979</v>
      </c>
      <c r="Z34" s="921"/>
      <c r="AA34" s="921"/>
      <c r="AB34" s="921">
        <v>109</v>
      </c>
      <c r="AC34" s="921">
        <v>69</v>
      </c>
      <c r="AD34" s="921">
        <v>667</v>
      </c>
      <c r="AE34" s="921">
        <v>756</v>
      </c>
      <c r="AF34" s="921">
        <v>1533</v>
      </c>
      <c r="AG34" s="921">
        <v>1179</v>
      </c>
      <c r="AH34" s="921">
        <v>324</v>
      </c>
      <c r="AI34" s="921">
        <v>155</v>
      </c>
      <c r="AJ34" s="261">
        <v>368</v>
      </c>
      <c r="AK34" s="921">
        <v>557</v>
      </c>
      <c r="AL34" s="923"/>
      <c r="AM34" s="1005"/>
      <c r="AN34" s="637">
        <v>4539</v>
      </c>
      <c r="AO34" s="73">
        <v>869</v>
      </c>
      <c r="AP34" s="261">
        <v>271</v>
      </c>
      <c r="AQ34" s="921">
        <v>121</v>
      </c>
      <c r="AR34" s="921">
        <v>374</v>
      </c>
      <c r="AS34" s="922">
        <v>118</v>
      </c>
      <c r="AT34" s="924"/>
      <c r="AU34" s="261"/>
      <c r="AV34" s="1014">
        <f t="shared" si="0"/>
        <v>36572</v>
      </c>
      <c r="AW34" s="263">
        <f t="shared" si="1"/>
        <v>25135</v>
      </c>
      <c r="AX34" s="921">
        <v>1140524.33</v>
      </c>
      <c r="AY34" s="921">
        <v>1061626.56</v>
      </c>
      <c r="AZ34" s="1014"/>
      <c r="BA34" s="1017">
        <f t="shared" si="3"/>
        <v>1086761.56</v>
      </c>
    </row>
    <row r="35" spans="1:53" ht="14.25" x14ac:dyDescent="0.3">
      <c r="A35" s="71" t="s">
        <v>368</v>
      </c>
      <c r="B35" s="927"/>
      <c r="C35" s="927"/>
      <c r="D35" s="927">
        <v>0</v>
      </c>
      <c r="E35" s="927"/>
      <c r="F35" s="927">
        <v>0</v>
      </c>
      <c r="G35" s="927"/>
      <c r="H35" s="927"/>
      <c r="I35" s="927"/>
      <c r="J35" s="927">
        <v>0</v>
      </c>
      <c r="K35" s="927"/>
      <c r="L35" s="927">
        <v>0</v>
      </c>
      <c r="M35" s="927"/>
      <c r="N35" s="927">
        <v>0</v>
      </c>
      <c r="O35" s="927"/>
      <c r="P35" s="927">
        <v>0</v>
      </c>
      <c r="Q35" s="927"/>
      <c r="R35" s="927"/>
      <c r="S35" s="927"/>
      <c r="T35" s="927">
        <v>0</v>
      </c>
      <c r="U35" s="927"/>
      <c r="V35" s="927"/>
      <c r="W35" s="927"/>
      <c r="X35" s="927"/>
      <c r="Y35" s="927"/>
      <c r="Z35" s="927">
        <v>0</v>
      </c>
      <c r="AA35" s="927"/>
      <c r="AB35" s="927">
        <v>0</v>
      </c>
      <c r="AC35" s="927"/>
      <c r="AD35" s="927"/>
      <c r="AE35" s="927"/>
      <c r="AF35" s="927"/>
      <c r="AG35" s="927"/>
      <c r="AH35" s="927"/>
      <c r="AI35" s="927"/>
      <c r="AJ35" s="929"/>
      <c r="AK35" s="927"/>
      <c r="AL35" s="927">
        <v>0</v>
      </c>
      <c r="AM35" s="928"/>
      <c r="AN35" s="929"/>
      <c r="AO35" s="927"/>
      <c r="AP35" s="929"/>
      <c r="AQ35" s="927"/>
      <c r="AR35" s="927">
        <v>0</v>
      </c>
      <c r="AS35" s="928"/>
      <c r="AT35" s="930">
        <v>0</v>
      </c>
      <c r="AU35" s="929"/>
      <c r="AV35" s="1014">
        <f t="shared" si="0"/>
        <v>0</v>
      </c>
      <c r="AW35" s="263">
        <f t="shared" si="1"/>
        <v>0</v>
      </c>
      <c r="AX35" s="927"/>
      <c r="AY35" s="927"/>
      <c r="AZ35" s="1014"/>
      <c r="BA35" s="1017">
        <f>AW35+AY35</f>
        <v>0</v>
      </c>
    </row>
    <row r="36" spans="1:53" ht="14.25" x14ac:dyDescent="0.3">
      <c r="A36" s="71" t="s">
        <v>369</v>
      </c>
      <c r="B36" s="927"/>
      <c r="C36" s="927"/>
      <c r="D36" s="927"/>
      <c r="E36" s="927"/>
      <c r="F36" s="927"/>
      <c r="G36" s="927"/>
      <c r="H36" s="927"/>
      <c r="I36" s="927"/>
      <c r="J36" s="927"/>
      <c r="K36" s="927"/>
      <c r="L36" s="927"/>
      <c r="M36" s="927"/>
      <c r="N36" s="927"/>
      <c r="O36" s="927"/>
      <c r="P36" s="927"/>
      <c r="Q36" s="927"/>
      <c r="R36" s="927"/>
      <c r="S36" s="927"/>
      <c r="T36" s="927"/>
      <c r="U36" s="927"/>
      <c r="V36" s="927"/>
      <c r="W36" s="927"/>
      <c r="X36" s="927"/>
      <c r="Y36" s="927"/>
      <c r="Z36" s="927"/>
      <c r="AA36" s="927"/>
      <c r="AB36" s="927"/>
      <c r="AC36" s="927"/>
      <c r="AD36" s="927"/>
      <c r="AE36" s="927"/>
      <c r="AF36" s="927"/>
      <c r="AG36" s="927"/>
      <c r="AH36" s="927"/>
      <c r="AI36" s="927"/>
      <c r="AJ36" s="929"/>
      <c r="AK36" s="927"/>
      <c r="AL36" s="931"/>
      <c r="AM36" s="1006"/>
      <c r="AN36" s="1008"/>
      <c r="AO36" s="1009"/>
      <c r="AP36" s="929"/>
      <c r="AQ36" s="927"/>
      <c r="AR36" s="927"/>
      <c r="AS36" s="928"/>
      <c r="AT36" s="930"/>
      <c r="AU36" s="929"/>
      <c r="AV36" s="1014">
        <f t="shared" si="0"/>
        <v>0</v>
      </c>
      <c r="AW36" s="263">
        <f t="shared" si="1"/>
        <v>0</v>
      </c>
      <c r="AX36" s="927"/>
      <c r="AY36" s="927"/>
      <c r="AZ36" s="1014"/>
      <c r="BA36" s="1017">
        <f t="shared" si="3"/>
        <v>0</v>
      </c>
    </row>
    <row r="37" spans="1:53" ht="14.25" x14ac:dyDescent="0.3">
      <c r="A37" s="181" t="s">
        <v>370</v>
      </c>
      <c r="B37" s="927"/>
      <c r="C37" s="927"/>
      <c r="D37" s="927"/>
      <c r="E37" s="927"/>
      <c r="F37" s="927"/>
      <c r="G37" s="927"/>
      <c r="H37" s="927"/>
      <c r="I37" s="927"/>
      <c r="J37" s="927"/>
      <c r="K37" s="927"/>
      <c r="L37" s="927"/>
      <c r="M37" s="927"/>
      <c r="N37" s="927"/>
      <c r="O37" s="927"/>
      <c r="P37" s="927"/>
      <c r="Q37" s="927"/>
      <c r="R37" s="927"/>
      <c r="S37" s="927"/>
      <c r="T37" s="927"/>
      <c r="U37" s="927"/>
      <c r="V37" s="927"/>
      <c r="W37" s="927"/>
      <c r="X37" s="927"/>
      <c r="Y37" s="927"/>
      <c r="Z37" s="927"/>
      <c r="AA37" s="927"/>
      <c r="AB37" s="927"/>
      <c r="AC37" s="927"/>
      <c r="AD37" s="927"/>
      <c r="AE37" s="927"/>
      <c r="AF37" s="927"/>
      <c r="AG37" s="927"/>
      <c r="AH37" s="927"/>
      <c r="AI37" s="927"/>
      <c r="AJ37" s="929"/>
      <c r="AK37" s="927"/>
      <c r="AL37" s="931"/>
      <c r="AM37" s="1006"/>
      <c r="AN37" s="1008"/>
      <c r="AO37" s="1009"/>
      <c r="AP37" s="929"/>
      <c r="AQ37" s="927"/>
      <c r="AR37" s="927"/>
      <c r="AS37" s="928"/>
      <c r="AT37" s="930"/>
      <c r="AU37" s="929"/>
      <c r="AV37" s="1014">
        <f t="shared" si="0"/>
        <v>0</v>
      </c>
      <c r="AW37" s="263">
        <f t="shared" si="1"/>
        <v>0</v>
      </c>
      <c r="AX37" s="927">
        <v>-516031.7</v>
      </c>
      <c r="AY37" s="927">
        <v>-451757.27</v>
      </c>
      <c r="AZ37" s="1014"/>
      <c r="BA37" s="1017">
        <f t="shared" si="3"/>
        <v>-451757.27</v>
      </c>
    </row>
    <row r="38" spans="1:53" ht="14.25" x14ac:dyDescent="0.3">
      <c r="A38" s="181" t="s">
        <v>371</v>
      </c>
      <c r="B38" s="927">
        <v>26848</v>
      </c>
      <c r="C38" s="927">
        <v>19622</v>
      </c>
      <c r="D38" s="932">
        <v>7197</v>
      </c>
      <c r="E38" s="932">
        <v>6980</v>
      </c>
      <c r="F38" s="927"/>
      <c r="G38" s="927"/>
      <c r="H38" s="927">
        <v>45482</v>
      </c>
      <c r="I38" s="927">
        <v>42640</v>
      </c>
      <c r="J38" s="927">
        <v>2959</v>
      </c>
      <c r="K38" s="927">
        <v>2279</v>
      </c>
      <c r="L38" s="927">
        <v>661</v>
      </c>
      <c r="M38" s="927">
        <v>278</v>
      </c>
      <c r="N38" s="927">
        <v>8175</v>
      </c>
      <c r="O38" s="927">
        <v>5406</v>
      </c>
      <c r="P38" s="927">
        <v>1735</v>
      </c>
      <c r="Q38" s="927">
        <v>1360</v>
      </c>
      <c r="R38" s="927">
        <v>57230</v>
      </c>
      <c r="S38" s="927">
        <v>47804</v>
      </c>
      <c r="T38" s="927">
        <v>3408</v>
      </c>
      <c r="U38" s="927">
        <v>2251</v>
      </c>
      <c r="V38" s="927">
        <v>41489</v>
      </c>
      <c r="W38" s="927">
        <v>23935</v>
      </c>
      <c r="X38" s="927">
        <v>85074</v>
      </c>
      <c r="Y38" s="927">
        <v>58177</v>
      </c>
      <c r="Z38" s="927">
        <v>1254</v>
      </c>
      <c r="AA38" s="927">
        <v>858</v>
      </c>
      <c r="AB38" s="927">
        <v>1919</v>
      </c>
      <c r="AC38" s="927">
        <v>1196</v>
      </c>
      <c r="AD38" s="927">
        <v>6718</v>
      </c>
      <c r="AE38" s="927">
        <v>8907</v>
      </c>
      <c r="AF38" s="927">
        <v>61456</v>
      </c>
      <c r="AG38" s="927">
        <v>49196</v>
      </c>
      <c r="AH38" s="927">
        <v>13825</v>
      </c>
      <c r="AI38" s="927">
        <v>7276</v>
      </c>
      <c r="AJ38" s="929">
        <v>7162</v>
      </c>
      <c r="AK38" s="927">
        <v>5364</v>
      </c>
      <c r="AL38" s="931"/>
      <c r="AM38" s="1006"/>
      <c r="AN38" s="1008">
        <v>30840</v>
      </c>
      <c r="AO38" s="1009">
        <v>32343</v>
      </c>
      <c r="AP38" s="929">
        <v>7912</v>
      </c>
      <c r="AQ38" s="927">
        <v>5621</v>
      </c>
      <c r="AR38" s="927">
        <v>1304</v>
      </c>
      <c r="AS38" s="928">
        <v>1022</v>
      </c>
      <c r="AT38" s="930">
        <f>AT32</f>
        <v>50331</v>
      </c>
      <c r="AU38" s="929">
        <v>46844</v>
      </c>
      <c r="AV38" s="1014">
        <f t="shared" si="0"/>
        <v>462979</v>
      </c>
      <c r="AW38" s="263">
        <f t="shared" si="1"/>
        <v>369359</v>
      </c>
      <c r="AX38" s="927">
        <v>11097414.720000001</v>
      </c>
      <c r="AY38" s="927">
        <v>11061665.289999999</v>
      </c>
      <c r="AZ38" s="1014"/>
      <c r="BA38" s="1017">
        <f t="shared" si="3"/>
        <v>11431024.289999999</v>
      </c>
    </row>
    <row r="39" spans="1:53" ht="14.25" x14ac:dyDescent="0.3">
      <c r="A39" s="71" t="s">
        <v>368</v>
      </c>
      <c r="B39" s="139"/>
      <c r="C39" s="139"/>
      <c r="D39" s="139"/>
      <c r="E39" s="139"/>
      <c r="F39" s="139">
        <v>0</v>
      </c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933"/>
      <c r="AK39" s="139"/>
      <c r="AL39" s="139">
        <v>0</v>
      </c>
      <c r="AM39" s="115"/>
      <c r="AN39" s="933"/>
      <c r="AO39" s="139"/>
      <c r="AP39" s="933"/>
      <c r="AQ39" s="139"/>
      <c r="AR39" s="139"/>
      <c r="AS39" s="115"/>
      <c r="AT39" s="114"/>
      <c r="AU39" s="933"/>
      <c r="AV39" s="1014">
        <f t="shared" si="0"/>
        <v>0</v>
      </c>
      <c r="AW39" s="263">
        <f t="shared" si="1"/>
        <v>0</v>
      </c>
      <c r="AX39" s="139"/>
      <c r="AY39" s="139"/>
      <c r="AZ39" s="1014"/>
      <c r="BA39" s="1017">
        <f t="shared" si="3"/>
        <v>0</v>
      </c>
    </row>
    <row r="40" spans="1:53" ht="14.25" x14ac:dyDescent="0.3">
      <c r="A40" s="71" t="s">
        <v>369</v>
      </c>
      <c r="B40" s="139"/>
      <c r="C40" s="139"/>
      <c r="D40" s="934"/>
      <c r="E40" s="934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933"/>
      <c r="AK40" s="139"/>
      <c r="AL40" s="935"/>
      <c r="AM40" s="936"/>
      <c r="AN40" s="1010"/>
      <c r="AO40" s="1011"/>
      <c r="AP40" s="933"/>
      <c r="AQ40" s="139"/>
      <c r="AR40" s="139"/>
      <c r="AS40" s="115"/>
      <c r="AT40" s="114"/>
      <c r="AU40" s="933"/>
      <c r="AV40" s="1014">
        <f t="shared" si="0"/>
        <v>0</v>
      </c>
      <c r="AW40" s="263">
        <f t="shared" si="1"/>
        <v>0</v>
      </c>
      <c r="AX40" s="139"/>
      <c r="AY40" s="139"/>
      <c r="AZ40" s="1014"/>
      <c r="BA40" s="1017">
        <f t="shared" si="3"/>
        <v>0</v>
      </c>
    </row>
    <row r="41" spans="1:53" ht="15" thickBot="1" x14ac:dyDescent="0.35">
      <c r="A41" s="181" t="s">
        <v>372</v>
      </c>
      <c r="B41" s="139"/>
      <c r="C41" s="139"/>
      <c r="D41" s="934"/>
      <c r="E41" s="934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933"/>
      <c r="AK41" s="139"/>
      <c r="AL41" s="935"/>
      <c r="AM41" s="936"/>
      <c r="AN41" s="1010"/>
      <c r="AO41" s="1011"/>
      <c r="AP41" s="933"/>
      <c r="AQ41" s="139"/>
      <c r="AR41" s="139"/>
      <c r="AS41" s="115"/>
      <c r="AT41" s="114"/>
      <c r="AU41" s="933"/>
      <c r="AV41" s="1015">
        <f t="shared" si="0"/>
        <v>0</v>
      </c>
      <c r="AW41" s="1016">
        <f t="shared" si="1"/>
        <v>0</v>
      </c>
      <c r="AX41" s="139">
        <v>-714915.41</v>
      </c>
      <c r="AY41" s="139">
        <v>-929244.4</v>
      </c>
      <c r="AZ41" s="1015"/>
      <c r="BA41" s="1017">
        <f t="shared" si="3"/>
        <v>-929244.4</v>
      </c>
    </row>
    <row r="42" spans="1:53" s="939" customFormat="1" ht="15" thickBot="1" x14ac:dyDescent="0.35">
      <c r="A42" s="392" t="s">
        <v>54</v>
      </c>
      <c r="B42" s="712">
        <f>B32</f>
        <v>27180</v>
      </c>
      <c r="C42" s="712">
        <f>C25</f>
        <v>19976</v>
      </c>
      <c r="D42" s="937">
        <f>D32</f>
        <v>7203</v>
      </c>
      <c r="E42" s="937">
        <v>6980</v>
      </c>
      <c r="F42" s="712">
        <f>F35+F39</f>
        <v>0</v>
      </c>
      <c r="G42" s="712"/>
      <c r="H42" s="712">
        <f t="shared" ref="H42:V42" si="8">H32</f>
        <v>51224</v>
      </c>
      <c r="I42" s="712">
        <v>45720</v>
      </c>
      <c r="J42" s="712">
        <f t="shared" si="8"/>
        <v>2959</v>
      </c>
      <c r="K42" s="712">
        <v>2279</v>
      </c>
      <c r="L42" s="712">
        <f t="shared" si="8"/>
        <v>661</v>
      </c>
      <c r="M42" s="712">
        <v>278</v>
      </c>
      <c r="N42" s="712">
        <f t="shared" si="8"/>
        <v>8416</v>
      </c>
      <c r="O42" s="712">
        <v>5524</v>
      </c>
      <c r="P42" s="712">
        <f t="shared" si="8"/>
        <v>1771</v>
      </c>
      <c r="Q42" s="712">
        <v>1382</v>
      </c>
      <c r="R42" s="712">
        <f t="shared" si="8"/>
        <v>60539</v>
      </c>
      <c r="S42" s="712">
        <v>50899</v>
      </c>
      <c r="T42" s="712">
        <f t="shared" si="8"/>
        <v>3409</v>
      </c>
      <c r="U42" s="712">
        <v>2260</v>
      </c>
      <c r="V42" s="712">
        <f t="shared" si="8"/>
        <v>59277</v>
      </c>
      <c r="W42" s="712">
        <v>37589</v>
      </c>
      <c r="X42" s="712">
        <v>86008</v>
      </c>
      <c r="Y42" s="712">
        <v>59155</v>
      </c>
      <c r="Z42" s="712">
        <f t="shared" ref="Z42:AJ42" si="9">Z32</f>
        <v>1254</v>
      </c>
      <c r="AA42" s="712">
        <v>858</v>
      </c>
      <c r="AB42" s="712">
        <f t="shared" si="9"/>
        <v>2028</v>
      </c>
      <c r="AC42" s="712">
        <v>1266</v>
      </c>
      <c r="AD42" s="712">
        <f t="shared" si="9"/>
        <v>7385</v>
      </c>
      <c r="AE42" s="712">
        <v>9663</v>
      </c>
      <c r="AF42" s="712">
        <f t="shared" si="9"/>
        <v>62989</v>
      </c>
      <c r="AG42" s="712">
        <v>50375</v>
      </c>
      <c r="AH42" s="712">
        <f t="shared" si="9"/>
        <v>14149</v>
      </c>
      <c r="AI42" s="712">
        <f>AI32</f>
        <v>7431</v>
      </c>
      <c r="AJ42" s="392">
        <f t="shared" si="9"/>
        <v>7530</v>
      </c>
      <c r="AK42" s="712">
        <v>5921</v>
      </c>
      <c r="AL42" s="712">
        <f>AL35+AL39</f>
        <v>0</v>
      </c>
      <c r="AM42" s="747"/>
      <c r="AN42" s="392">
        <f>AN32</f>
        <v>35379</v>
      </c>
      <c r="AO42" s="712">
        <v>33213</v>
      </c>
      <c r="AP42" s="392">
        <f>AP32</f>
        <v>8184</v>
      </c>
      <c r="AQ42" s="712">
        <v>5742</v>
      </c>
      <c r="AR42" s="712">
        <f>AR32</f>
        <v>1678</v>
      </c>
      <c r="AS42" s="746">
        <v>1140</v>
      </c>
      <c r="AT42" s="746">
        <f>AT32</f>
        <v>50331</v>
      </c>
      <c r="AU42" s="392">
        <v>46844</v>
      </c>
      <c r="AV42" s="956">
        <f t="shared" si="0"/>
        <v>499554</v>
      </c>
      <c r="AW42" s="938">
        <f t="shared" si="1"/>
        <v>394495</v>
      </c>
      <c r="AX42" s="712">
        <v>11006991.939999999</v>
      </c>
      <c r="AY42" s="712">
        <v>10742290.18</v>
      </c>
      <c r="AZ42" s="938">
        <f>AV42+AX42</f>
        <v>11506545.939999999</v>
      </c>
      <c r="BA42" s="938">
        <f>AW42+AY42</f>
        <v>11136785.18</v>
      </c>
    </row>
  </sheetData>
  <mergeCells count="26">
    <mergeCell ref="AX1:AY1"/>
    <mergeCell ref="AZ1:BA1"/>
    <mergeCell ref="AL1:AM1"/>
    <mergeCell ref="AN1:AO1"/>
    <mergeCell ref="AP1:AQ1"/>
    <mergeCell ref="AR1:AS1"/>
    <mergeCell ref="AT1:AU1"/>
    <mergeCell ref="AV1:AW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J1:AK1"/>
    <mergeCell ref="Z1:AA1"/>
    <mergeCell ref="AB1:AC1"/>
    <mergeCell ref="AD1:AE1"/>
    <mergeCell ref="AF1:AG1"/>
    <mergeCell ref="AH1:AI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AA16"/>
  <sheetViews>
    <sheetView workbookViewId="0">
      <pane xSplit="1" topLeftCell="B1" activePane="topRight" state="frozen"/>
      <selection pane="topRight" activeCell="K13" sqref="K13"/>
    </sheetView>
  </sheetViews>
  <sheetFormatPr defaultRowHeight="14.25" x14ac:dyDescent="0.3"/>
  <cols>
    <col min="1" max="1" width="29.140625" style="6" customWidth="1"/>
    <col min="2" max="3" width="8.5703125" style="6" bestFit="1" customWidth="1"/>
    <col min="4" max="4" width="9.42578125" style="6" bestFit="1" customWidth="1"/>
    <col min="5" max="6" width="11" style="6" customWidth="1"/>
    <col min="7" max="7" width="10.140625" style="6" customWidth="1"/>
    <col min="8" max="8" width="9" style="6" bestFit="1" customWidth="1"/>
    <col min="9" max="9" width="8.5703125" style="6" bestFit="1" customWidth="1"/>
    <col min="10" max="10" width="11" style="6" customWidth="1"/>
    <col min="11" max="11" width="8.5703125" style="6" bestFit="1" customWidth="1"/>
    <col min="12" max="13" width="9" style="6" bestFit="1" customWidth="1"/>
    <col min="14" max="14" width="11.42578125" style="6" customWidth="1"/>
    <col min="15" max="16" width="8.5703125" style="6" bestFit="1" customWidth="1"/>
    <col min="17" max="17" width="11.42578125" style="6" customWidth="1"/>
    <col min="18" max="20" width="8.5703125" style="6" bestFit="1" customWidth="1"/>
    <col min="21" max="21" width="11" style="6" customWidth="1"/>
    <col min="22" max="22" width="11.42578125" style="6" customWidth="1"/>
    <col min="23" max="24" width="8.5703125" style="6" bestFit="1" customWidth="1"/>
    <col min="25" max="25" width="11" style="6" bestFit="1" customWidth="1"/>
    <col min="26" max="26" width="11" style="6" customWidth="1"/>
    <col min="27" max="27" width="11.42578125" style="6" customWidth="1"/>
    <col min="28" max="28" width="9.5703125" style="6" bestFit="1" customWidth="1"/>
    <col min="29" max="16384" width="9.140625" style="6"/>
  </cols>
  <sheetData>
    <row r="1" spans="1:27" x14ac:dyDescent="0.3">
      <c r="A1" s="1163" t="s">
        <v>375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  <c r="N1" s="1163"/>
      <c r="O1" s="1163"/>
      <c r="P1" s="1163"/>
      <c r="Q1" s="1163"/>
      <c r="R1" s="1163"/>
      <c r="S1" s="1163"/>
      <c r="T1" s="1163"/>
      <c r="U1" s="1163"/>
      <c r="V1" s="1163"/>
      <c r="W1" s="1163"/>
      <c r="X1" s="1163"/>
      <c r="Y1" s="1163"/>
      <c r="Z1" s="1163"/>
      <c r="AA1" s="1163"/>
    </row>
    <row r="2" spans="1:27" ht="15" thickBot="1" x14ac:dyDescent="0.35">
      <c r="A2" s="1163" t="s">
        <v>389</v>
      </c>
      <c r="B2" s="1163"/>
      <c r="C2" s="1163"/>
      <c r="D2" s="1163"/>
      <c r="E2" s="1163"/>
      <c r="F2" s="1163"/>
      <c r="G2" s="1163"/>
      <c r="H2" s="1163"/>
      <c r="I2" s="1163"/>
      <c r="J2" s="1163"/>
      <c r="K2" s="1163"/>
      <c r="L2" s="1163"/>
      <c r="M2" s="1163"/>
      <c r="N2" s="1163"/>
      <c r="O2" s="1163"/>
      <c r="P2" s="1163"/>
      <c r="Q2" s="1163"/>
      <c r="R2" s="1163"/>
      <c r="S2" s="1163"/>
      <c r="T2" s="1163"/>
      <c r="U2" s="1163"/>
      <c r="V2" s="1163"/>
      <c r="W2" s="1163"/>
      <c r="X2" s="1163"/>
      <c r="Y2" s="1163"/>
      <c r="Z2" s="1163"/>
      <c r="AA2" s="1163"/>
    </row>
    <row r="3" spans="1:27" ht="92.25" customHeight="1" thickBot="1" x14ac:dyDescent="0.35">
      <c r="A3" s="1159" t="s">
        <v>376</v>
      </c>
      <c r="B3" s="999" t="s">
        <v>114</v>
      </c>
      <c r="C3" s="998" t="s">
        <v>115</v>
      </c>
      <c r="D3" s="998" t="s">
        <v>116</v>
      </c>
      <c r="E3" s="998" t="s">
        <v>117</v>
      </c>
      <c r="F3" s="998" t="s">
        <v>118</v>
      </c>
      <c r="G3" s="998" t="s">
        <v>119</v>
      </c>
      <c r="H3" s="998" t="s">
        <v>220</v>
      </c>
      <c r="I3" s="998" t="s">
        <v>120</v>
      </c>
      <c r="J3" s="998" t="s">
        <v>121</v>
      </c>
      <c r="K3" s="998" t="s">
        <v>122</v>
      </c>
      <c r="L3" s="998" t="s">
        <v>123</v>
      </c>
      <c r="M3" s="998" t="s">
        <v>124</v>
      </c>
      <c r="N3" s="998" t="s">
        <v>226</v>
      </c>
      <c r="O3" s="998" t="s">
        <v>125</v>
      </c>
      <c r="P3" s="998" t="s">
        <v>126</v>
      </c>
      <c r="Q3" s="998" t="s">
        <v>127</v>
      </c>
      <c r="R3" s="998" t="s">
        <v>128</v>
      </c>
      <c r="S3" s="998" t="s">
        <v>129</v>
      </c>
      <c r="T3" s="998" t="s">
        <v>130</v>
      </c>
      <c r="U3" s="998" t="s">
        <v>131</v>
      </c>
      <c r="V3" s="998" t="s">
        <v>132</v>
      </c>
      <c r="W3" s="998" t="s">
        <v>133</v>
      </c>
      <c r="X3" s="998" t="s">
        <v>134</v>
      </c>
      <c r="Y3" s="1000" t="s">
        <v>1</v>
      </c>
      <c r="Z3" s="998" t="s">
        <v>135</v>
      </c>
      <c r="AA3" s="1001" t="s">
        <v>2</v>
      </c>
    </row>
    <row r="4" spans="1:27" s="959" customFormat="1" ht="54.75" thickBot="1" x14ac:dyDescent="0.3">
      <c r="A4" s="1164"/>
      <c r="B4" s="957" t="s">
        <v>388</v>
      </c>
      <c r="C4" s="957" t="s">
        <v>388</v>
      </c>
      <c r="D4" s="957" t="s">
        <v>388</v>
      </c>
      <c r="E4" s="957" t="s">
        <v>388</v>
      </c>
      <c r="F4" s="957" t="s">
        <v>388</v>
      </c>
      <c r="G4" s="957" t="s">
        <v>388</v>
      </c>
      <c r="H4" s="957" t="s">
        <v>388</v>
      </c>
      <c r="I4" s="957" t="s">
        <v>388</v>
      </c>
      <c r="J4" s="957" t="s">
        <v>388</v>
      </c>
      <c r="K4" s="957" t="s">
        <v>388</v>
      </c>
      <c r="L4" s="957" t="s">
        <v>388</v>
      </c>
      <c r="M4" s="957" t="s">
        <v>388</v>
      </c>
      <c r="N4" s="957" t="s">
        <v>388</v>
      </c>
      <c r="O4" s="957" t="s">
        <v>388</v>
      </c>
      <c r="P4" s="957" t="s">
        <v>388</v>
      </c>
      <c r="Q4" s="957" t="s">
        <v>388</v>
      </c>
      <c r="R4" s="957" t="s">
        <v>388</v>
      </c>
      <c r="S4" s="957" t="s">
        <v>388</v>
      </c>
      <c r="T4" s="957" t="s">
        <v>388</v>
      </c>
      <c r="U4" s="957" t="s">
        <v>388</v>
      </c>
      <c r="V4" s="957" t="s">
        <v>388</v>
      </c>
      <c r="W4" s="957" t="s">
        <v>388</v>
      </c>
      <c r="X4" s="957" t="s">
        <v>388</v>
      </c>
      <c r="Y4" s="957" t="s">
        <v>388</v>
      </c>
      <c r="Z4" s="957" t="s">
        <v>388</v>
      </c>
      <c r="AA4" s="958" t="s">
        <v>388</v>
      </c>
    </row>
    <row r="5" spans="1:27" s="20" customFormat="1" x14ac:dyDescent="0.3">
      <c r="A5" s="960" t="s">
        <v>377</v>
      </c>
      <c r="B5" s="997">
        <v>5638118</v>
      </c>
      <c r="C5" s="961">
        <v>339683</v>
      </c>
      <c r="D5" s="962">
        <v>1100082</v>
      </c>
      <c r="E5" s="962">
        <v>73524039</v>
      </c>
      <c r="F5" s="962">
        <v>1037765</v>
      </c>
      <c r="G5" s="962">
        <v>2426166</v>
      </c>
      <c r="H5" s="962">
        <v>533091</v>
      </c>
      <c r="I5" s="962">
        <v>485515</v>
      </c>
      <c r="J5" s="962">
        <v>1879307</v>
      </c>
      <c r="K5" s="962">
        <v>570005</v>
      </c>
      <c r="L5" s="962">
        <v>18251056</v>
      </c>
      <c r="M5" s="962">
        <v>22776541</v>
      </c>
      <c r="N5" s="962">
        <v>1275274</v>
      </c>
      <c r="O5" s="963">
        <v>1754725</v>
      </c>
      <c r="P5" s="962">
        <v>4776814</v>
      </c>
      <c r="Q5" s="962">
        <v>9950425</v>
      </c>
      <c r="R5" s="962">
        <v>384369</v>
      </c>
      <c r="S5" s="962">
        <v>2552783</v>
      </c>
      <c r="T5" s="962"/>
      <c r="U5" s="964">
        <v>24238653</v>
      </c>
      <c r="V5" s="960">
        <v>667469</v>
      </c>
      <c r="W5" s="962">
        <v>1384447</v>
      </c>
      <c r="X5" s="965">
        <v>5189282</v>
      </c>
      <c r="Y5" s="966">
        <f t="shared" ref="Y5:Y16" si="0">SUM(B5+C5+D5+E5+F5+G5+H5+I5+J5+K5+L5+M5+N5+O5+P5+Q5+R5+S5+T5+U5+V5+W5+X5)</f>
        <v>180735609</v>
      </c>
      <c r="Z5" s="35">
        <v>368745931</v>
      </c>
      <c r="AA5" s="965">
        <f t="shared" ref="AA5:AA16" si="1">Y5+Z5</f>
        <v>549481540</v>
      </c>
    </row>
    <row r="6" spans="1:27" s="20" customFormat="1" x14ac:dyDescent="0.3">
      <c r="A6" s="960" t="s">
        <v>378</v>
      </c>
      <c r="B6" s="967"/>
      <c r="C6" s="968"/>
      <c r="D6" s="813"/>
      <c r="E6" s="813"/>
      <c r="F6" s="813"/>
      <c r="G6" s="813"/>
      <c r="H6" s="813"/>
      <c r="I6" s="813"/>
      <c r="J6" s="813"/>
      <c r="K6" s="813"/>
      <c r="L6" s="813"/>
      <c r="M6" s="813"/>
      <c r="N6" s="813"/>
      <c r="O6" s="969"/>
      <c r="P6" s="813"/>
      <c r="Q6" s="813"/>
      <c r="R6" s="813"/>
      <c r="S6" s="813"/>
      <c r="T6" s="813"/>
      <c r="U6" s="970"/>
      <c r="V6" s="813"/>
      <c r="W6" s="813"/>
      <c r="X6" s="971"/>
      <c r="Y6" s="966">
        <f t="shared" si="0"/>
        <v>0</v>
      </c>
      <c r="Z6" s="972"/>
      <c r="AA6" s="965">
        <f t="shared" si="1"/>
        <v>0</v>
      </c>
    </row>
    <row r="7" spans="1:27" s="20" customFormat="1" x14ac:dyDescent="0.3">
      <c r="A7" s="960" t="s">
        <v>379</v>
      </c>
      <c r="B7" s="967">
        <v>5639682</v>
      </c>
      <c r="C7" s="973">
        <v>304913</v>
      </c>
      <c r="D7" s="974">
        <v>1075756</v>
      </c>
      <c r="E7" s="974">
        <v>694878694</v>
      </c>
      <c r="F7" s="974">
        <v>1011872</v>
      </c>
      <c r="G7" s="974">
        <v>2364990</v>
      </c>
      <c r="H7" s="974">
        <v>523340</v>
      </c>
      <c r="I7" s="974">
        <v>484519</v>
      </c>
      <c r="J7" s="974">
        <v>1837581</v>
      </c>
      <c r="K7" s="974">
        <v>542864</v>
      </c>
      <c r="L7" s="974">
        <v>18179063</v>
      </c>
      <c r="M7" s="974">
        <v>22200210</v>
      </c>
      <c r="N7" s="974">
        <v>1248237</v>
      </c>
      <c r="O7" s="969">
        <v>1694871</v>
      </c>
      <c r="P7" s="974">
        <v>4740054</v>
      </c>
      <c r="Q7" s="975">
        <v>9570789</v>
      </c>
      <c r="R7" s="974">
        <v>3001968</v>
      </c>
      <c r="S7" s="974">
        <v>2514414</v>
      </c>
      <c r="T7" s="974"/>
      <c r="U7" s="964">
        <v>24149227</v>
      </c>
      <c r="V7" s="960">
        <v>663712</v>
      </c>
      <c r="W7" s="813">
        <v>1330049</v>
      </c>
      <c r="X7" s="971">
        <v>5070340</v>
      </c>
      <c r="Y7" s="966">
        <f t="shared" si="0"/>
        <v>803027145</v>
      </c>
      <c r="Z7" s="972">
        <v>349611869</v>
      </c>
      <c r="AA7" s="965">
        <f t="shared" si="1"/>
        <v>1152639014</v>
      </c>
    </row>
    <row r="8" spans="1:27" s="20" customFormat="1" x14ac:dyDescent="0.3">
      <c r="A8" s="960" t="s">
        <v>380</v>
      </c>
      <c r="B8" s="967"/>
      <c r="C8" s="968"/>
      <c r="D8" s="813">
        <v>18163</v>
      </c>
      <c r="E8" s="813"/>
      <c r="F8" s="813">
        <v>19710</v>
      </c>
      <c r="G8" s="813"/>
      <c r="H8" s="813"/>
      <c r="I8" s="813"/>
      <c r="J8" s="813"/>
      <c r="K8" s="813"/>
      <c r="L8" s="813"/>
      <c r="M8" s="813">
        <v>451137</v>
      </c>
      <c r="N8" s="813"/>
      <c r="O8" s="813">
        <v>31430</v>
      </c>
      <c r="P8" s="813"/>
      <c r="Q8" s="813"/>
      <c r="R8" s="813"/>
      <c r="S8" s="813"/>
      <c r="T8" s="813"/>
      <c r="U8" s="970"/>
      <c r="V8" s="976"/>
      <c r="W8" s="813">
        <v>23318</v>
      </c>
      <c r="X8" s="971"/>
      <c r="Y8" s="966">
        <f t="shared" si="0"/>
        <v>543758</v>
      </c>
      <c r="Z8" s="972">
        <v>16382</v>
      </c>
      <c r="AA8" s="965">
        <f t="shared" si="1"/>
        <v>560140</v>
      </c>
    </row>
    <row r="9" spans="1:27" s="20" customFormat="1" x14ac:dyDescent="0.3">
      <c r="A9" s="977" t="s">
        <v>381</v>
      </c>
      <c r="B9" s="978">
        <v>-1564</v>
      </c>
      <c r="C9" s="968">
        <v>34770</v>
      </c>
      <c r="D9" s="813">
        <v>6163</v>
      </c>
      <c r="E9" s="813">
        <v>8645345</v>
      </c>
      <c r="F9" s="813">
        <v>6183</v>
      </c>
      <c r="G9" s="813">
        <v>61175</v>
      </c>
      <c r="H9" s="813">
        <v>9750</v>
      </c>
      <c r="I9" s="813">
        <v>995</v>
      </c>
      <c r="J9" s="813">
        <v>41725</v>
      </c>
      <c r="K9" s="813">
        <v>27140</v>
      </c>
      <c r="L9" s="813">
        <v>71992</v>
      </c>
      <c r="M9" s="813">
        <v>125194</v>
      </c>
      <c r="N9" s="813">
        <v>27037</v>
      </c>
      <c r="O9" s="813">
        <v>28424</v>
      </c>
      <c r="P9" s="813">
        <v>36760</v>
      </c>
      <c r="Q9" s="813">
        <v>379636</v>
      </c>
      <c r="R9" s="813">
        <v>82501</v>
      </c>
      <c r="S9" s="813">
        <v>38368</v>
      </c>
      <c r="T9" s="813"/>
      <c r="U9" s="964">
        <v>89425</v>
      </c>
      <c r="V9" s="960">
        <v>3758</v>
      </c>
      <c r="W9" s="813">
        <v>31080</v>
      </c>
      <c r="X9" s="971">
        <v>118942</v>
      </c>
      <c r="Y9" s="966">
        <f t="shared" si="0"/>
        <v>9864799</v>
      </c>
      <c r="Z9" s="972">
        <v>19117681</v>
      </c>
      <c r="AA9" s="965">
        <f t="shared" si="1"/>
        <v>28982480</v>
      </c>
    </row>
    <row r="10" spans="1:27" s="20" customFormat="1" x14ac:dyDescent="0.3">
      <c r="A10" s="960" t="s">
        <v>382</v>
      </c>
      <c r="B10" s="967">
        <v>289857</v>
      </c>
      <c r="C10" s="968">
        <v>8313</v>
      </c>
      <c r="D10" s="813">
        <v>66588</v>
      </c>
      <c r="E10" s="813">
        <v>103966846</v>
      </c>
      <c r="F10" s="813">
        <v>74481</v>
      </c>
      <c r="G10" s="813">
        <v>113455</v>
      </c>
      <c r="H10" s="813">
        <v>73789</v>
      </c>
      <c r="I10" s="813">
        <v>31675</v>
      </c>
      <c r="J10" s="813">
        <v>97866</v>
      </c>
      <c r="K10" s="813">
        <v>3582</v>
      </c>
      <c r="L10" s="813">
        <v>935977</v>
      </c>
      <c r="M10" s="813">
        <v>981491</v>
      </c>
      <c r="N10" s="813">
        <v>83869</v>
      </c>
      <c r="O10" s="969">
        <v>97620</v>
      </c>
      <c r="P10" s="813">
        <v>401988</v>
      </c>
      <c r="Q10" s="813">
        <v>593249</v>
      </c>
      <c r="R10" s="813">
        <v>133392</v>
      </c>
      <c r="S10" s="813">
        <v>130828</v>
      </c>
      <c r="T10" s="813"/>
      <c r="U10" s="964">
        <v>1084292</v>
      </c>
      <c r="V10" s="960">
        <v>60798</v>
      </c>
      <c r="W10" s="813">
        <v>73930</v>
      </c>
      <c r="X10" s="971">
        <v>196678</v>
      </c>
      <c r="Y10" s="966">
        <f t="shared" si="0"/>
        <v>109500564</v>
      </c>
      <c r="Z10" s="972">
        <v>791902</v>
      </c>
      <c r="AA10" s="965">
        <f t="shared" si="1"/>
        <v>110292466</v>
      </c>
    </row>
    <row r="11" spans="1:27" s="20" customFormat="1" x14ac:dyDescent="0.3">
      <c r="A11" s="960" t="s">
        <v>378</v>
      </c>
      <c r="B11" s="967"/>
      <c r="C11" s="968"/>
      <c r="D11" s="813"/>
      <c r="E11" s="813"/>
      <c r="F11" s="813"/>
      <c r="G11" s="813"/>
      <c r="H11" s="813"/>
      <c r="I11" s="813"/>
      <c r="J11" s="813"/>
      <c r="K11" s="813"/>
      <c r="L11" s="813"/>
      <c r="M11" s="813"/>
      <c r="N11" s="813"/>
      <c r="O11" s="969"/>
      <c r="P11" s="813"/>
      <c r="Q11" s="813"/>
      <c r="R11" s="813"/>
      <c r="S11" s="813"/>
      <c r="T11" s="813"/>
      <c r="U11" s="970"/>
      <c r="V11" s="976"/>
      <c r="W11" s="813"/>
      <c r="X11" s="971"/>
      <c r="Y11" s="966">
        <f t="shared" si="0"/>
        <v>0</v>
      </c>
      <c r="Z11" s="972"/>
      <c r="AA11" s="965">
        <f t="shared" si="1"/>
        <v>0</v>
      </c>
    </row>
    <row r="12" spans="1:27" s="20" customFormat="1" x14ac:dyDescent="0.3">
      <c r="A12" s="960" t="s">
        <v>383</v>
      </c>
      <c r="B12" s="967"/>
      <c r="C12" s="968"/>
      <c r="D12" s="813">
        <v>275</v>
      </c>
      <c r="E12" s="813">
        <v>3048021</v>
      </c>
      <c r="F12" s="813">
        <v>19282</v>
      </c>
      <c r="G12" s="813"/>
      <c r="H12" s="813"/>
      <c r="I12" s="813"/>
      <c r="J12" s="813"/>
      <c r="K12" s="813"/>
      <c r="L12" s="813"/>
      <c r="M12" s="813">
        <v>29579</v>
      </c>
      <c r="N12" s="813"/>
      <c r="O12" s="969">
        <v>39208</v>
      </c>
      <c r="P12" s="813"/>
      <c r="Q12" s="813">
        <v>305741</v>
      </c>
      <c r="R12" s="813"/>
      <c r="S12" s="229"/>
      <c r="T12" s="229"/>
      <c r="U12" s="970"/>
      <c r="V12" s="976"/>
      <c r="W12" s="813">
        <v>6319</v>
      </c>
      <c r="X12" s="971"/>
      <c r="Y12" s="966">
        <f t="shared" si="0"/>
        <v>3448425</v>
      </c>
      <c r="Z12" s="972"/>
      <c r="AA12" s="965">
        <f t="shared" si="1"/>
        <v>3448425</v>
      </c>
    </row>
    <row r="13" spans="1:27" s="20" customFormat="1" x14ac:dyDescent="0.3">
      <c r="A13" s="977" t="s">
        <v>384</v>
      </c>
      <c r="B13" s="978">
        <v>289857</v>
      </c>
      <c r="C13" s="968">
        <v>8313</v>
      </c>
      <c r="D13" s="813">
        <v>66313</v>
      </c>
      <c r="E13" s="813">
        <v>100918825</v>
      </c>
      <c r="F13" s="813">
        <v>55199</v>
      </c>
      <c r="G13" s="813">
        <v>113455</v>
      </c>
      <c r="H13" s="813">
        <v>73789</v>
      </c>
      <c r="I13" s="813">
        <v>31675</v>
      </c>
      <c r="J13" s="813">
        <v>97866</v>
      </c>
      <c r="K13" s="813">
        <v>3582</v>
      </c>
      <c r="L13" s="813">
        <v>935977</v>
      </c>
      <c r="M13" s="813">
        <v>951912</v>
      </c>
      <c r="N13" s="813">
        <v>83869</v>
      </c>
      <c r="O13" s="969">
        <v>57411</v>
      </c>
      <c r="P13" s="813">
        <v>401988</v>
      </c>
      <c r="Q13" s="813">
        <v>287508</v>
      </c>
      <c r="R13" s="813">
        <v>133392</v>
      </c>
      <c r="S13" s="813">
        <v>130828</v>
      </c>
      <c r="T13" s="813"/>
      <c r="U13" s="964">
        <v>1084292</v>
      </c>
      <c r="V13" s="960">
        <v>60798</v>
      </c>
      <c r="W13" s="813">
        <v>67611</v>
      </c>
      <c r="X13" s="971">
        <v>196678</v>
      </c>
      <c r="Y13" s="966">
        <f t="shared" si="0"/>
        <v>106051138</v>
      </c>
      <c r="Z13" s="972">
        <v>791902</v>
      </c>
      <c r="AA13" s="965">
        <f t="shared" si="1"/>
        <v>106843040</v>
      </c>
    </row>
    <row r="14" spans="1:27" s="20" customFormat="1" x14ac:dyDescent="0.3">
      <c r="A14" s="960" t="s">
        <v>385</v>
      </c>
      <c r="B14" s="967">
        <v>288293</v>
      </c>
      <c r="C14" s="813">
        <v>43083</v>
      </c>
      <c r="D14" s="813">
        <v>72476</v>
      </c>
      <c r="E14" s="813">
        <v>109564170</v>
      </c>
      <c r="F14" s="813">
        <v>61382</v>
      </c>
      <c r="G14" s="813">
        <v>174630</v>
      </c>
      <c r="H14" s="813">
        <v>83540</v>
      </c>
      <c r="I14" s="813">
        <v>32670</v>
      </c>
      <c r="J14" s="813">
        <v>139591</v>
      </c>
      <c r="K14" s="813">
        <v>30722</v>
      </c>
      <c r="L14" s="813">
        <v>1007969</v>
      </c>
      <c r="M14" s="813">
        <v>1077106</v>
      </c>
      <c r="N14" s="813">
        <v>110906</v>
      </c>
      <c r="O14" s="813">
        <v>86836</v>
      </c>
      <c r="P14" s="813">
        <v>438748</v>
      </c>
      <c r="Q14" s="813">
        <v>667144</v>
      </c>
      <c r="R14" s="813">
        <v>215892</v>
      </c>
      <c r="S14" s="813">
        <v>169196</v>
      </c>
      <c r="T14" s="813"/>
      <c r="U14" s="813">
        <v>1173717</v>
      </c>
      <c r="V14" s="813">
        <v>64556</v>
      </c>
      <c r="W14" s="813">
        <v>98691</v>
      </c>
      <c r="X14" s="813">
        <v>315620</v>
      </c>
      <c r="Y14" s="966">
        <f t="shared" si="0"/>
        <v>115916938</v>
      </c>
      <c r="Z14" s="972">
        <v>19909582</v>
      </c>
      <c r="AA14" s="965">
        <f t="shared" si="1"/>
        <v>135826520</v>
      </c>
    </row>
    <row r="15" spans="1:27" s="20" customFormat="1" ht="15" thickBot="1" x14ac:dyDescent="0.35">
      <c r="A15" s="960" t="s">
        <v>386</v>
      </c>
      <c r="B15" s="979">
        <v>148726</v>
      </c>
      <c r="C15" s="980">
        <v>14893</v>
      </c>
      <c r="D15" s="815">
        <v>31231</v>
      </c>
      <c r="E15" s="815">
        <v>18132707</v>
      </c>
      <c r="F15" s="815">
        <v>36658</v>
      </c>
      <c r="G15" s="815">
        <v>63813</v>
      </c>
      <c r="H15" s="815">
        <v>21630</v>
      </c>
      <c r="I15" s="815">
        <v>17233</v>
      </c>
      <c r="J15" s="815">
        <v>69165</v>
      </c>
      <c r="K15" s="815">
        <v>20462</v>
      </c>
      <c r="L15" s="815">
        <v>530404</v>
      </c>
      <c r="M15" s="815">
        <v>532737</v>
      </c>
      <c r="N15" s="815">
        <v>35354</v>
      </c>
      <c r="O15" s="981">
        <v>54004</v>
      </c>
      <c r="P15" s="815">
        <v>164688</v>
      </c>
      <c r="Q15" s="815">
        <v>321990</v>
      </c>
      <c r="R15" s="815">
        <v>119802</v>
      </c>
      <c r="S15" s="815">
        <v>73636</v>
      </c>
      <c r="T15" s="815"/>
      <c r="U15" s="964">
        <v>562341</v>
      </c>
      <c r="V15" s="960">
        <v>31353</v>
      </c>
      <c r="W15" s="815">
        <v>52976</v>
      </c>
      <c r="X15" s="982">
        <v>176359</v>
      </c>
      <c r="Y15" s="983">
        <f t="shared" si="0"/>
        <v>21212162</v>
      </c>
      <c r="Z15" s="984">
        <v>11248233</v>
      </c>
      <c r="AA15" s="985">
        <f t="shared" si="1"/>
        <v>32460395</v>
      </c>
    </row>
    <row r="16" spans="1:27" s="996" customFormat="1" ht="15" thickBot="1" x14ac:dyDescent="0.35">
      <c r="A16" s="986" t="s">
        <v>387</v>
      </c>
      <c r="B16" s="987">
        <v>1.94</v>
      </c>
      <c r="C16" s="988">
        <v>2.89</v>
      </c>
      <c r="D16" s="989">
        <v>2.3199999999999998</v>
      </c>
      <c r="E16" s="989">
        <v>6.04</v>
      </c>
      <c r="F16" s="989">
        <v>1.67</v>
      </c>
      <c r="G16" s="989">
        <v>2.74</v>
      </c>
      <c r="H16" s="989">
        <v>3.86</v>
      </c>
      <c r="I16" s="989">
        <v>1.9</v>
      </c>
      <c r="J16" s="989">
        <v>2.02</v>
      </c>
      <c r="K16" s="989">
        <v>1.5</v>
      </c>
      <c r="L16" s="989">
        <v>1.9</v>
      </c>
      <c r="M16" s="989">
        <v>2.02</v>
      </c>
      <c r="N16" s="989">
        <v>3.14</v>
      </c>
      <c r="O16" s="990">
        <v>1.61</v>
      </c>
      <c r="P16" s="989">
        <v>2.66</v>
      </c>
      <c r="Q16" s="989">
        <v>2.0699999999999998</v>
      </c>
      <c r="R16" s="989">
        <v>1.8</v>
      </c>
      <c r="S16" s="989">
        <v>2.2999999999999998</v>
      </c>
      <c r="T16" s="989"/>
      <c r="U16" s="991">
        <v>2.09</v>
      </c>
      <c r="V16" s="989">
        <v>2.06</v>
      </c>
      <c r="W16" s="989">
        <v>1.86</v>
      </c>
      <c r="X16" s="992">
        <v>1.79</v>
      </c>
      <c r="Y16" s="993">
        <f t="shared" si="0"/>
        <v>52.179999999999986</v>
      </c>
      <c r="Z16" s="994">
        <v>1.77</v>
      </c>
      <c r="AA16" s="995">
        <f t="shared" si="1"/>
        <v>53.949999999999989</v>
      </c>
    </row>
  </sheetData>
  <mergeCells count="3">
    <mergeCell ref="A1:AA1"/>
    <mergeCell ref="A2:AA2"/>
    <mergeCell ref="A3:A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BA17"/>
  <sheetViews>
    <sheetView workbookViewId="0">
      <pane xSplit="1" topLeftCell="AX1" activePane="topRight" state="frozen"/>
      <selection pane="topRight" activeCell="AX11" sqref="AX11"/>
    </sheetView>
  </sheetViews>
  <sheetFormatPr defaultRowHeight="13.5" x14ac:dyDescent="0.25"/>
  <cols>
    <col min="1" max="1" width="23.7109375" style="59" bestFit="1" customWidth="1"/>
    <col min="2" max="53" width="15" style="59" bestFit="1" customWidth="1"/>
    <col min="54" max="16384" width="9.140625" style="59"/>
  </cols>
  <sheetData>
    <row r="1" spans="1:53" x14ac:dyDescent="0.25">
      <c r="A1" s="1171" t="s">
        <v>205</v>
      </c>
      <c r="B1" s="1171"/>
      <c r="C1" s="1171"/>
      <c r="D1" s="1171"/>
      <c r="E1" s="1171"/>
      <c r="F1" s="1171"/>
      <c r="G1" s="1171"/>
      <c r="H1" s="1171"/>
      <c r="I1" s="1171"/>
      <c r="J1" s="1171"/>
      <c r="K1" s="1171"/>
      <c r="L1" s="1171"/>
      <c r="M1" s="1171"/>
      <c r="N1" s="1171"/>
      <c r="O1" s="1171"/>
      <c r="P1" s="1171"/>
      <c r="Q1" s="1171"/>
      <c r="R1" s="1171"/>
      <c r="S1" s="1171"/>
      <c r="T1" s="1171"/>
      <c r="U1" s="1171"/>
      <c r="V1" s="1171"/>
      <c r="W1" s="1171"/>
      <c r="X1" s="1171"/>
      <c r="Y1" s="1171"/>
      <c r="Z1" s="1171"/>
      <c r="AA1" s="1171"/>
      <c r="AB1" s="1171"/>
      <c r="AC1" s="1171"/>
      <c r="AD1" s="1171"/>
      <c r="AE1" s="1171"/>
      <c r="AF1" s="1171"/>
      <c r="AG1" s="1171"/>
      <c r="AH1" s="1171"/>
      <c r="AI1" s="1171"/>
      <c r="AJ1" s="1171"/>
      <c r="AK1" s="1171"/>
      <c r="AL1" s="1171"/>
      <c r="AM1" s="1171"/>
      <c r="AN1" s="1171"/>
      <c r="AO1" s="1171"/>
      <c r="AP1" s="1171"/>
      <c r="AQ1" s="1171"/>
      <c r="AR1" s="1171"/>
      <c r="AS1" s="1171"/>
      <c r="AT1" s="1171"/>
      <c r="AU1" s="1171"/>
      <c r="AV1" s="1171"/>
      <c r="AW1" s="1171"/>
      <c r="AX1" s="1171"/>
      <c r="AY1" s="1171"/>
      <c r="AZ1" s="1171"/>
    </row>
    <row r="2" spans="1:53" ht="14.25" thickBot="1" x14ac:dyDescent="0.3">
      <c r="A2" s="1172" t="s">
        <v>112</v>
      </c>
      <c r="B2" s="1172"/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2"/>
      <c r="P2" s="1172"/>
      <c r="Q2" s="1172"/>
      <c r="R2" s="1172"/>
      <c r="S2" s="1172"/>
      <c r="T2" s="1172"/>
      <c r="U2" s="1172"/>
      <c r="V2" s="1172"/>
      <c r="W2" s="1172"/>
      <c r="X2" s="1172"/>
      <c r="Y2" s="1172"/>
      <c r="Z2" s="1172"/>
      <c r="AA2" s="1172"/>
      <c r="AB2" s="1172"/>
      <c r="AC2" s="1172"/>
      <c r="AD2" s="1172"/>
      <c r="AE2" s="1172"/>
      <c r="AF2" s="1172"/>
      <c r="AG2" s="1172"/>
      <c r="AH2" s="1172"/>
      <c r="AI2" s="1172"/>
      <c r="AJ2" s="1172"/>
      <c r="AK2" s="1172"/>
      <c r="AL2" s="1172"/>
      <c r="AM2" s="1172"/>
      <c r="AN2" s="1172"/>
      <c r="AO2" s="1172"/>
      <c r="AP2" s="1172"/>
      <c r="AQ2" s="1172"/>
      <c r="AR2" s="1172"/>
      <c r="AS2" s="1172"/>
      <c r="AT2" s="1172"/>
      <c r="AU2" s="1172"/>
      <c r="AV2" s="1172"/>
      <c r="AW2" s="1172"/>
      <c r="AX2" s="1172"/>
      <c r="AY2" s="1172"/>
      <c r="AZ2" s="1172"/>
    </row>
    <row r="3" spans="1:53" s="395" customFormat="1" ht="40.5" customHeight="1" thickBot="1" x14ac:dyDescent="0.3">
      <c r="A3" s="1173" t="s">
        <v>0</v>
      </c>
      <c r="B3" s="1175" t="s">
        <v>114</v>
      </c>
      <c r="C3" s="1176"/>
      <c r="D3" s="1062" t="s">
        <v>115</v>
      </c>
      <c r="E3" s="1114"/>
      <c r="F3" s="1062" t="s">
        <v>116</v>
      </c>
      <c r="G3" s="1063"/>
      <c r="H3" s="1169" t="s">
        <v>117</v>
      </c>
      <c r="I3" s="1177"/>
      <c r="J3" s="1062" t="s">
        <v>118</v>
      </c>
      <c r="K3" s="1114"/>
      <c r="L3" s="1062" t="s">
        <v>119</v>
      </c>
      <c r="M3" s="1063"/>
      <c r="N3" s="1178" t="s">
        <v>220</v>
      </c>
      <c r="O3" s="1179"/>
      <c r="P3" s="1178" t="s">
        <v>120</v>
      </c>
      <c r="Q3" s="1179"/>
      <c r="R3" s="1178" t="s">
        <v>121</v>
      </c>
      <c r="S3" s="1180"/>
      <c r="T3" s="1062" t="s">
        <v>122</v>
      </c>
      <c r="U3" s="1063"/>
      <c r="V3" s="1062" t="s">
        <v>123</v>
      </c>
      <c r="W3" s="1063"/>
      <c r="X3" s="1062" t="s">
        <v>124</v>
      </c>
      <c r="Y3" s="1063"/>
      <c r="Z3" s="1062" t="s">
        <v>226</v>
      </c>
      <c r="AA3" s="1063"/>
      <c r="AB3" s="1178" t="s">
        <v>125</v>
      </c>
      <c r="AC3" s="1180"/>
      <c r="AD3" s="1165" t="s">
        <v>126</v>
      </c>
      <c r="AE3" s="1166"/>
      <c r="AF3" s="1062" t="s">
        <v>127</v>
      </c>
      <c r="AG3" s="1063"/>
      <c r="AH3" s="1062" t="s">
        <v>128</v>
      </c>
      <c r="AI3" s="1114"/>
      <c r="AJ3" s="1062" t="s">
        <v>129</v>
      </c>
      <c r="AK3" s="1063"/>
      <c r="AL3" s="1165" t="s">
        <v>130</v>
      </c>
      <c r="AM3" s="1166"/>
      <c r="AN3" s="1062" t="s">
        <v>131</v>
      </c>
      <c r="AO3" s="1063"/>
      <c r="AP3" s="1062" t="s">
        <v>132</v>
      </c>
      <c r="AQ3" s="1114"/>
      <c r="AR3" s="1062" t="s">
        <v>133</v>
      </c>
      <c r="AS3" s="1063"/>
      <c r="AT3" s="1169" t="s">
        <v>134</v>
      </c>
      <c r="AU3" s="1170"/>
      <c r="AV3" s="1062" t="s">
        <v>1</v>
      </c>
      <c r="AW3" s="1063"/>
      <c r="AX3" s="1165" t="s">
        <v>135</v>
      </c>
      <c r="AY3" s="1166"/>
      <c r="AZ3" s="1167" t="s">
        <v>2</v>
      </c>
      <c r="BA3" s="1168"/>
    </row>
    <row r="4" spans="1:53" s="274" customFormat="1" ht="15" thickBot="1" x14ac:dyDescent="0.35">
      <c r="A4" s="1174"/>
      <c r="B4" s="343" t="s">
        <v>329</v>
      </c>
      <c r="C4" s="345" t="s">
        <v>223</v>
      </c>
      <c r="D4" s="344" t="s">
        <v>329</v>
      </c>
      <c r="E4" s="345" t="s">
        <v>223</v>
      </c>
      <c r="F4" s="344" t="s">
        <v>329</v>
      </c>
      <c r="G4" s="345" t="s">
        <v>223</v>
      </c>
      <c r="H4" s="344" t="s">
        <v>329</v>
      </c>
      <c r="I4" s="345" t="s">
        <v>223</v>
      </c>
      <c r="J4" s="343" t="s">
        <v>329</v>
      </c>
      <c r="K4" s="345" t="s">
        <v>223</v>
      </c>
      <c r="L4" s="343" t="s">
        <v>329</v>
      </c>
      <c r="M4" s="345" t="s">
        <v>223</v>
      </c>
      <c r="N4" s="343" t="s">
        <v>329</v>
      </c>
      <c r="O4" s="345" t="s">
        <v>223</v>
      </c>
      <c r="P4" s="343" t="s">
        <v>329</v>
      </c>
      <c r="Q4" s="345" t="s">
        <v>223</v>
      </c>
      <c r="R4" s="343" t="s">
        <v>329</v>
      </c>
      <c r="S4" s="344" t="s">
        <v>223</v>
      </c>
      <c r="T4" s="343" t="s">
        <v>329</v>
      </c>
      <c r="U4" s="345" t="s">
        <v>223</v>
      </c>
      <c r="V4" s="343" t="s">
        <v>329</v>
      </c>
      <c r="W4" s="345" t="s">
        <v>223</v>
      </c>
      <c r="X4" s="343" t="s">
        <v>329</v>
      </c>
      <c r="Y4" s="345" t="s">
        <v>223</v>
      </c>
      <c r="Z4" s="343" t="s">
        <v>329</v>
      </c>
      <c r="AA4" s="345" t="s">
        <v>223</v>
      </c>
      <c r="AB4" s="343" t="s">
        <v>329</v>
      </c>
      <c r="AC4" s="344" t="s">
        <v>223</v>
      </c>
      <c r="AD4" s="343" t="s">
        <v>329</v>
      </c>
      <c r="AE4" s="345" t="s">
        <v>223</v>
      </c>
      <c r="AF4" s="343" t="s">
        <v>329</v>
      </c>
      <c r="AG4" s="344" t="s">
        <v>223</v>
      </c>
      <c r="AH4" s="343" t="s">
        <v>329</v>
      </c>
      <c r="AI4" s="345" t="s">
        <v>223</v>
      </c>
      <c r="AJ4" s="344" t="s">
        <v>329</v>
      </c>
      <c r="AK4" s="345" t="s">
        <v>223</v>
      </c>
      <c r="AL4" s="344" t="s">
        <v>329</v>
      </c>
      <c r="AM4" s="345" t="s">
        <v>223</v>
      </c>
      <c r="AN4" s="344" t="s">
        <v>329</v>
      </c>
      <c r="AO4" s="344" t="s">
        <v>223</v>
      </c>
      <c r="AP4" s="343" t="s">
        <v>329</v>
      </c>
      <c r="AQ4" s="345" t="s">
        <v>223</v>
      </c>
      <c r="AR4" s="344" t="s">
        <v>329</v>
      </c>
      <c r="AS4" s="345" t="s">
        <v>223</v>
      </c>
      <c r="AT4" s="344" t="s">
        <v>329</v>
      </c>
      <c r="AU4" s="345" t="s">
        <v>223</v>
      </c>
      <c r="AV4" s="344" t="s">
        <v>329</v>
      </c>
      <c r="AW4" s="345" t="s">
        <v>223</v>
      </c>
      <c r="AX4" s="344" t="s">
        <v>329</v>
      </c>
      <c r="AY4" s="345" t="s">
        <v>223</v>
      </c>
      <c r="AZ4" s="344" t="s">
        <v>329</v>
      </c>
      <c r="BA4" s="345" t="s">
        <v>223</v>
      </c>
    </row>
    <row r="5" spans="1:53" s="63" customFormat="1" ht="15" customHeight="1" x14ac:dyDescent="0.25">
      <c r="A5" s="69" t="s">
        <v>3</v>
      </c>
      <c r="B5" s="228">
        <v>30.62</v>
      </c>
      <c r="C5" s="227">
        <v>25.79</v>
      </c>
      <c r="D5" s="224"/>
      <c r="E5" s="226"/>
      <c r="F5" s="224">
        <v>0.1</v>
      </c>
      <c r="G5" s="225">
        <v>0.05</v>
      </c>
      <c r="H5" s="224"/>
      <c r="I5" s="227">
        <v>8</v>
      </c>
      <c r="J5" s="515"/>
      <c r="K5" s="622"/>
      <c r="L5" s="224"/>
      <c r="M5" s="225"/>
      <c r="N5" s="224"/>
      <c r="O5" s="225">
        <v>6.1999999999999998E-3</v>
      </c>
      <c r="P5" s="224">
        <v>2.8E-3</v>
      </c>
      <c r="Q5" s="225">
        <v>0.11</v>
      </c>
      <c r="R5" s="625"/>
      <c r="S5" s="907"/>
      <c r="T5" s="224">
        <v>2.0099999999999998</v>
      </c>
      <c r="U5" s="225">
        <v>2.33</v>
      </c>
      <c r="V5" s="224">
        <v>0.47</v>
      </c>
      <c r="W5" s="225">
        <v>132.13</v>
      </c>
      <c r="X5" s="224">
        <v>11.67</v>
      </c>
      <c r="Y5" s="225">
        <v>6</v>
      </c>
      <c r="Z5" s="224">
        <v>0.03</v>
      </c>
      <c r="AA5" s="225">
        <v>0.04</v>
      </c>
      <c r="AB5" s="234"/>
      <c r="AC5" s="901"/>
      <c r="AD5" s="224">
        <v>0.43</v>
      </c>
      <c r="AE5" s="225"/>
      <c r="AF5" s="224">
        <v>0.17</v>
      </c>
      <c r="AG5" s="227">
        <v>1.94</v>
      </c>
      <c r="AH5" s="224">
        <v>1.23</v>
      </c>
      <c r="AI5" s="226">
        <v>0.41</v>
      </c>
      <c r="AJ5" s="224"/>
      <c r="AK5" s="225"/>
      <c r="AL5" s="224"/>
      <c r="AM5" s="225"/>
      <c r="AN5" s="533">
        <v>131.03</v>
      </c>
      <c r="AO5" s="894">
        <v>65</v>
      </c>
      <c r="AP5" s="224"/>
      <c r="AQ5" s="226"/>
      <c r="AR5" s="224"/>
      <c r="AS5" s="225">
        <v>0.03</v>
      </c>
      <c r="AT5" s="515">
        <v>2.76</v>
      </c>
      <c r="AU5" s="521">
        <v>1.52</v>
      </c>
      <c r="AV5" s="222">
        <f t="shared" ref="AV5:AV14" si="0">SUM(B5+D5+F5+H5+J5+L5+N5+P5+R5+T5+V5+X5+Z5+P5+AD5+AF5+AH5+AJ5+AL5+AN5+AP5+AR5+B5)</f>
        <v>208.38560000000001</v>
      </c>
      <c r="AW5" s="537">
        <f t="shared" ref="AW5:AW14" si="1">SUM(C5+E5+G5+I5+K5+M5+O5+Q5+S5+U5+W5+Y5+AA5+Q5+AE5+AG5+AI5+AK5+AM5+AO5+AQ5+AS5+C5)</f>
        <v>267.7362</v>
      </c>
      <c r="AX5" s="224">
        <v>4099.12</v>
      </c>
      <c r="AY5" s="225">
        <v>2033.67</v>
      </c>
      <c r="AZ5" s="222">
        <f t="shared" ref="AZ5:AZ14" si="2">AV5+AX5</f>
        <v>4307.5055999999995</v>
      </c>
      <c r="BA5" s="223">
        <f t="shared" ref="BA5:BA14" si="3">AW5+AY5</f>
        <v>2301.4061999999999</v>
      </c>
    </row>
    <row r="6" spans="1:53" s="63" customFormat="1" x14ac:dyDescent="0.25">
      <c r="A6" s="69" t="s">
        <v>4</v>
      </c>
      <c r="B6" s="18">
        <v>12.28</v>
      </c>
      <c r="C6" s="227">
        <v>-15.97</v>
      </c>
      <c r="D6" s="3"/>
      <c r="E6" s="5"/>
      <c r="F6" s="3">
        <v>3.52</v>
      </c>
      <c r="G6" s="225">
        <v>0.08</v>
      </c>
      <c r="H6" s="3"/>
      <c r="I6" s="227">
        <v>492</v>
      </c>
      <c r="J6" s="233">
        <v>7.89</v>
      </c>
      <c r="K6" s="241">
        <v>7.08</v>
      </c>
      <c r="L6" s="3">
        <v>233.64</v>
      </c>
      <c r="M6" s="4">
        <v>168.23</v>
      </c>
      <c r="N6" s="3"/>
      <c r="O6" s="4"/>
      <c r="P6" s="3">
        <v>6.76</v>
      </c>
      <c r="Q6" s="4">
        <v>3.38</v>
      </c>
      <c r="R6" s="3">
        <v>0.14000000000000001</v>
      </c>
      <c r="S6" s="64">
        <v>0.11</v>
      </c>
      <c r="T6" s="224">
        <v>16.91</v>
      </c>
      <c r="U6" s="225">
        <v>36.340000000000003</v>
      </c>
      <c r="V6" s="3">
        <v>1392.98</v>
      </c>
      <c r="W6" s="4">
        <v>857.69</v>
      </c>
      <c r="X6" s="3">
        <v>706.38</v>
      </c>
      <c r="Y6" s="225">
        <v>360</v>
      </c>
      <c r="Z6" s="56">
        <v>88.41</v>
      </c>
      <c r="AA6" s="57">
        <v>45.01</v>
      </c>
      <c r="AB6" s="233">
        <v>170.06</v>
      </c>
      <c r="AC6" s="902">
        <v>94.07</v>
      </c>
      <c r="AD6" s="3">
        <v>183.55</v>
      </c>
      <c r="AE6" s="225">
        <v>93.14</v>
      </c>
      <c r="AF6" s="3">
        <v>447.26</v>
      </c>
      <c r="AG6" s="227">
        <v>241.93</v>
      </c>
      <c r="AH6" s="3">
        <v>200.7</v>
      </c>
      <c r="AI6" s="5">
        <v>157.06</v>
      </c>
      <c r="AJ6" s="3"/>
      <c r="AK6" s="4"/>
      <c r="AL6" s="68"/>
      <c r="AM6" s="4"/>
      <c r="AN6" s="534">
        <v>1967.83</v>
      </c>
      <c r="AO6" s="895">
        <v>2401</v>
      </c>
      <c r="AP6" s="898"/>
      <c r="AQ6" s="899"/>
      <c r="AR6" s="65">
        <v>260.8</v>
      </c>
      <c r="AS6" s="66">
        <v>174.11</v>
      </c>
      <c r="AT6" s="233">
        <v>2.39</v>
      </c>
      <c r="AU6" s="538">
        <v>1.02</v>
      </c>
      <c r="AV6" s="222">
        <f>SUM(B6+D6+F6+H6+J6+L6+N6+P6+R6+T6+V6+X6+Z6+P6+AD6+AF6+AH6+AJ6+AL6+AN6+AP6+AR6+B6)</f>
        <v>5548.09</v>
      </c>
      <c r="AW6" s="537">
        <f t="shared" si="1"/>
        <v>5008.5999999999995</v>
      </c>
      <c r="AX6" s="65">
        <v>1489.66</v>
      </c>
      <c r="AY6" s="225">
        <v>1.43</v>
      </c>
      <c r="AZ6" s="54">
        <f t="shared" si="2"/>
        <v>7037.75</v>
      </c>
      <c r="BA6" s="62">
        <f t="shared" si="3"/>
        <v>5010.03</v>
      </c>
    </row>
    <row r="7" spans="1:53" s="63" customFormat="1" x14ac:dyDescent="0.25">
      <c r="A7" s="69" t="s">
        <v>5</v>
      </c>
      <c r="B7" s="18">
        <v>114.71</v>
      </c>
      <c r="C7" s="227">
        <v>75.209999999999994</v>
      </c>
      <c r="D7" s="3">
        <v>-0.03</v>
      </c>
      <c r="E7" s="5">
        <v>2.0299999999999998</v>
      </c>
      <c r="F7" s="3"/>
      <c r="G7" s="225"/>
      <c r="H7" s="3"/>
      <c r="I7" s="227">
        <v>24</v>
      </c>
      <c r="J7" s="233">
        <v>2.4300000000000002</v>
      </c>
      <c r="K7" s="241">
        <v>0.25</v>
      </c>
      <c r="L7" s="3">
        <v>28.42</v>
      </c>
      <c r="M7" s="4">
        <v>5.61</v>
      </c>
      <c r="N7" s="3">
        <v>54.54</v>
      </c>
      <c r="O7" s="4">
        <v>45.35</v>
      </c>
      <c r="P7" s="3"/>
      <c r="Q7" s="4"/>
      <c r="R7" s="3"/>
      <c r="S7" s="64">
        <v>0.06</v>
      </c>
      <c r="T7" s="224">
        <v>0.12</v>
      </c>
      <c r="U7" s="225">
        <v>0.39</v>
      </c>
      <c r="V7" s="3">
        <v>1076.02</v>
      </c>
      <c r="W7" s="4">
        <v>668.31</v>
      </c>
      <c r="X7" s="3">
        <v>270.12</v>
      </c>
      <c r="Y7" s="225">
        <v>129</v>
      </c>
      <c r="Z7" s="56"/>
      <c r="AA7" s="57"/>
      <c r="AB7" s="233"/>
      <c r="AC7" s="902"/>
      <c r="AD7" s="3">
        <v>191.89</v>
      </c>
      <c r="AE7" s="225">
        <v>97.89</v>
      </c>
      <c r="AF7" s="3">
        <v>4.91</v>
      </c>
      <c r="AG7" s="227">
        <v>4.2</v>
      </c>
      <c r="AH7" s="3"/>
      <c r="AI7" s="5">
        <v>0.02</v>
      </c>
      <c r="AJ7" s="3"/>
      <c r="AK7" s="4"/>
      <c r="AL7" s="68"/>
      <c r="AM7" s="4"/>
      <c r="AN7" s="534">
        <v>2.3199999999999998</v>
      </c>
      <c r="AO7" s="895">
        <v>2</v>
      </c>
      <c r="AP7" s="898">
        <v>64.3</v>
      </c>
      <c r="AQ7" s="899">
        <v>41.69</v>
      </c>
      <c r="AR7" s="65"/>
      <c r="AS7" s="66"/>
      <c r="AT7" s="233"/>
      <c r="AU7" s="538"/>
      <c r="AV7" s="222">
        <f>SUM(B7+D7+F7+H7+J7+L7+N7+P7+R7+T7+V7+X7+Z7+P7+AD7+AF7+AH7+AJ7+AL7+AN7+AP7+AR7+B7)</f>
        <v>1924.4599999999998</v>
      </c>
      <c r="AW7" s="537">
        <f t="shared" si="1"/>
        <v>1171.22</v>
      </c>
      <c r="AX7" s="65">
        <v>6.05</v>
      </c>
      <c r="AY7" s="225">
        <v>4.9000000000000004</v>
      </c>
      <c r="AZ7" s="54">
        <f t="shared" si="2"/>
        <v>1930.5099999999998</v>
      </c>
      <c r="BA7" s="62">
        <f t="shared" si="3"/>
        <v>1176.1200000000001</v>
      </c>
    </row>
    <row r="8" spans="1:53" s="63" customFormat="1" x14ac:dyDescent="0.25">
      <c r="A8" s="69" t="s">
        <v>6</v>
      </c>
      <c r="B8" s="18">
        <v>127.19</v>
      </c>
      <c r="C8" s="227">
        <v>329.7</v>
      </c>
      <c r="D8" s="3">
        <v>4.72</v>
      </c>
      <c r="E8" s="5">
        <v>7.53</v>
      </c>
      <c r="F8" s="3">
        <v>29.03</v>
      </c>
      <c r="G8" s="225">
        <v>15.81</v>
      </c>
      <c r="H8" s="3"/>
      <c r="I8" s="227">
        <v>54</v>
      </c>
      <c r="J8" s="233">
        <v>0.41</v>
      </c>
      <c r="K8" s="241"/>
      <c r="L8" s="3">
        <v>2.67</v>
      </c>
      <c r="M8" s="4">
        <v>16.04</v>
      </c>
      <c r="N8" s="3">
        <v>24.12</v>
      </c>
      <c r="O8" s="4">
        <v>10.18</v>
      </c>
      <c r="P8" s="3">
        <v>0.81</v>
      </c>
      <c r="Q8" s="4">
        <v>2.13</v>
      </c>
      <c r="R8" s="3">
        <v>88.08</v>
      </c>
      <c r="S8" s="64">
        <v>37.17</v>
      </c>
      <c r="T8" s="224">
        <v>7.72</v>
      </c>
      <c r="U8" s="225">
        <v>9.2799999999999994</v>
      </c>
      <c r="V8" s="3">
        <v>198.27</v>
      </c>
      <c r="W8" s="4">
        <v>85.49</v>
      </c>
      <c r="X8" s="3">
        <v>371.6</v>
      </c>
      <c r="Y8" s="225">
        <v>147</v>
      </c>
      <c r="Z8" s="56"/>
      <c r="AA8" s="57"/>
      <c r="AB8" s="233">
        <v>64.52</v>
      </c>
      <c r="AC8" s="902">
        <v>26.55</v>
      </c>
      <c r="AD8" s="3">
        <v>74.28</v>
      </c>
      <c r="AE8" s="225">
        <v>41.9</v>
      </c>
      <c r="AF8" s="3">
        <v>12.86</v>
      </c>
      <c r="AG8" s="227">
        <v>26.22</v>
      </c>
      <c r="AH8" s="3">
        <v>91.02</v>
      </c>
      <c r="AI8" s="5">
        <v>48.1</v>
      </c>
      <c r="AJ8" s="3">
        <v>0.31</v>
      </c>
      <c r="AK8" s="4">
        <v>0.04</v>
      </c>
      <c r="AL8" s="68"/>
      <c r="AM8" s="4"/>
      <c r="AN8" s="534">
        <v>66.430000000000007</v>
      </c>
      <c r="AO8" s="895">
        <v>43</v>
      </c>
      <c r="AP8" s="898">
        <v>33.93</v>
      </c>
      <c r="AQ8" s="899">
        <v>6.29</v>
      </c>
      <c r="AR8" s="65">
        <v>4.83</v>
      </c>
      <c r="AS8" s="66">
        <v>1.18</v>
      </c>
      <c r="AT8" s="233">
        <v>50.22</v>
      </c>
      <c r="AU8" s="538">
        <v>26.71</v>
      </c>
      <c r="AV8" s="222">
        <f>SUM(B8+D8+F8+H8+J8+L8+N8+P8+R8+T8+V8+X8+Z8+P8+AD8+AF8+AH8+AJ8+AL8+AN8+AP8+AR8+B8)</f>
        <v>1266.28</v>
      </c>
      <c r="AW8" s="537">
        <f t="shared" si="1"/>
        <v>1212.8899999999999</v>
      </c>
      <c r="AX8" s="65">
        <v>169.88</v>
      </c>
      <c r="AY8" s="225">
        <v>15.06</v>
      </c>
      <c r="AZ8" s="54">
        <f t="shared" si="2"/>
        <v>1436.1599999999999</v>
      </c>
      <c r="BA8" s="62">
        <f t="shared" si="3"/>
        <v>1227.9499999999998</v>
      </c>
    </row>
    <row r="9" spans="1:53" s="63" customFormat="1" x14ac:dyDescent="0.25">
      <c r="A9" s="69" t="s">
        <v>7</v>
      </c>
      <c r="B9" s="18"/>
      <c r="C9" s="227"/>
      <c r="D9" s="3"/>
      <c r="E9" s="5"/>
      <c r="F9" s="3"/>
      <c r="G9" s="225"/>
      <c r="H9" s="3"/>
      <c r="I9" s="227">
        <v>32</v>
      </c>
      <c r="J9" s="233"/>
      <c r="K9" s="241"/>
      <c r="L9" s="3"/>
      <c r="M9" s="4"/>
      <c r="N9" s="3">
        <v>2.68</v>
      </c>
      <c r="O9" s="4">
        <v>1.78</v>
      </c>
      <c r="P9" s="3"/>
      <c r="Q9" s="4"/>
      <c r="R9" s="3"/>
      <c r="S9" s="64"/>
      <c r="T9" s="224"/>
      <c r="U9" s="225"/>
      <c r="V9" s="3">
        <v>28.76</v>
      </c>
      <c r="W9" s="4">
        <v>9.81</v>
      </c>
      <c r="X9" s="3"/>
      <c r="Y9" s="225"/>
      <c r="Z9" s="56"/>
      <c r="AA9" s="57"/>
      <c r="AB9" s="233"/>
      <c r="AC9" s="902"/>
      <c r="AD9" s="3">
        <v>95.45</v>
      </c>
      <c r="AE9" s="225">
        <v>45.04</v>
      </c>
      <c r="AF9" s="3"/>
      <c r="AG9" s="227"/>
      <c r="AH9" s="3"/>
      <c r="AI9" s="5"/>
      <c r="AJ9" s="3"/>
      <c r="AK9" s="4"/>
      <c r="AL9" s="68"/>
      <c r="AM9" s="4"/>
      <c r="AN9" s="535"/>
      <c r="AO9" s="895"/>
      <c r="AP9" s="898"/>
      <c r="AQ9" s="899"/>
      <c r="AR9" s="65"/>
      <c r="AS9" s="66"/>
      <c r="AT9" s="233"/>
      <c r="AU9" s="538"/>
      <c r="AV9" s="222">
        <f>SUM(B9+D9+F9+H9+J9+L9+N9+P9+R9+T9+V9+X9+Z9+P9+AD9+AF9+AH9+AJ9+AL9+AN9+AP9+AR9+B9)</f>
        <v>126.89</v>
      </c>
      <c r="AW9" s="537">
        <f t="shared" si="1"/>
        <v>88.63</v>
      </c>
      <c r="AX9" s="65"/>
      <c r="AY9" s="225"/>
      <c r="AZ9" s="54">
        <f t="shared" si="2"/>
        <v>126.89</v>
      </c>
      <c r="BA9" s="62">
        <f t="shared" si="3"/>
        <v>88.63</v>
      </c>
    </row>
    <row r="10" spans="1:53" s="63" customFormat="1" x14ac:dyDescent="0.25">
      <c r="A10" s="69" t="s">
        <v>8</v>
      </c>
      <c r="B10" s="18">
        <v>1906.78</v>
      </c>
      <c r="C10" s="227">
        <v>1475.79</v>
      </c>
      <c r="D10" s="3">
        <v>1.28</v>
      </c>
      <c r="E10" s="5">
        <v>6.06</v>
      </c>
      <c r="F10" s="3">
        <v>29.23</v>
      </c>
      <c r="G10" s="225">
        <v>29.15</v>
      </c>
      <c r="H10" s="3"/>
      <c r="I10" s="227">
        <v>1701</v>
      </c>
      <c r="J10" s="233">
        <v>106.34</v>
      </c>
      <c r="K10" s="241">
        <v>78.13</v>
      </c>
      <c r="L10" s="3">
        <v>552.53</v>
      </c>
      <c r="M10" s="4">
        <v>531.97</v>
      </c>
      <c r="N10" s="3">
        <v>29.53</v>
      </c>
      <c r="O10" s="4">
        <v>12.67</v>
      </c>
      <c r="P10" s="3">
        <v>13.36</v>
      </c>
      <c r="Q10" s="4">
        <v>8.0299999999999994</v>
      </c>
      <c r="R10" s="3">
        <v>16.82</v>
      </c>
      <c r="S10" s="64">
        <v>11.16</v>
      </c>
      <c r="T10" s="224">
        <v>81.58</v>
      </c>
      <c r="U10" s="225">
        <v>36.15</v>
      </c>
      <c r="V10" s="3">
        <v>6373.41</v>
      </c>
      <c r="W10" s="4">
        <v>5050.7</v>
      </c>
      <c r="X10" s="3">
        <v>2844.63</v>
      </c>
      <c r="Y10" s="225">
        <v>2771</v>
      </c>
      <c r="Z10" s="56">
        <v>15.5</v>
      </c>
      <c r="AA10" s="57">
        <v>6.15</v>
      </c>
      <c r="AB10" s="233">
        <v>732.44</v>
      </c>
      <c r="AC10" s="902">
        <v>698.38</v>
      </c>
      <c r="AD10" s="906">
        <v>1268.9000000000001</v>
      </c>
      <c r="AE10" s="225">
        <v>981.6</v>
      </c>
      <c r="AF10" s="3">
        <v>100.24</v>
      </c>
      <c r="AG10" s="227">
        <v>51.67</v>
      </c>
      <c r="AH10" s="3">
        <v>99.05</v>
      </c>
      <c r="AI10" s="5">
        <v>32.44</v>
      </c>
      <c r="AJ10" s="3">
        <v>219.82</v>
      </c>
      <c r="AK10" s="4">
        <v>91.89</v>
      </c>
      <c r="AL10" s="68"/>
      <c r="AM10" s="4"/>
      <c r="AN10" s="534">
        <v>5012.75</v>
      </c>
      <c r="AO10" s="895">
        <v>3797</v>
      </c>
      <c r="AP10" s="898">
        <v>149.32</v>
      </c>
      <c r="AQ10" s="899">
        <v>122.81</v>
      </c>
      <c r="AR10" s="65">
        <v>244.17</v>
      </c>
      <c r="AS10" s="66">
        <v>1.1599999999999999</v>
      </c>
      <c r="AT10" s="233">
        <v>124.49</v>
      </c>
      <c r="AU10" s="538">
        <v>65.739999999999995</v>
      </c>
      <c r="AV10" s="222">
        <f>SUM(B10+D10+F10+H10+J10+L10+N10+P10+R10+T10+V10+X10+Z10+P10+AD10+AF10+AH10+AJ10+AL10+AN10+AP10+AR10+B10)</f>
        <v>20985.379999999997</v>
      </c>
      <c r="AW10" s="537">
        <f t="shared" si="1"/>
        <v>18280.350000000006</v>
      </c>
      <c r="AX10" s="3">
        <v>84424.44</v>
      </c>
      <c r="AY10" s="225">
        <v>87447.57</v>
      </c>
      <c r="AZ10" s="54">
        <f t="shared" si="2"/>
        <v>105409.82</v>
      </c>
      <c r="BA10" s="62">
        <f t="shared" si="3"/>
        <v>105727.92000000001</v>
      </c>
    </row>
    <row r="11" spans="1:53" s="63" customFormat="1" ht="14.25" thickBot="1" x14ac:dyDescent="0.3">
      <c r="A11" s="69" t="s">
        <v>225</v>
      </c>
      <c r="B11" s="54"/>
      <c r="C11" s="654"/>
      <c r="D11" s="3"/>
      <c r="E11" s="5"/>
      <c r="F11" s="3"/>
      <c r="G11" s="4"/>
      <c r="H11" s="3"/>
      <c r="I11" s="64"/>
      <c r="J11" s="3"/>
      <c r="K11" s="5"/>
      <c r="L11" s="3"/>
      <c r="M11" s="4"/>
      <c r="N11" s="3"/>
      <c r="O11" s="4"/>
      <c r="P11" s="3"/>
      <c r="Q11" s="4"/>
      <c r="R11" s="3"/>
      <c r="S11" s="64"/>
      <c r="T11" s="3"/>
      <c r="U11" s="4"/>
      <c r="V11" s="3"/>
      <c r="W11" s="4"/>
      <c r="X11" s="3">
        <f>8.97+1.86</f>
        <v>10.83</v>
      </c>
      <c r="Y11" s="4">
        <v>2</v>
      </c>
      <c r="Z11" s="56"/>
      <c r="AA11" s="57"/>
      <c r="AB11" s="233"/>
      <c r="AC11" s="902"/>
      <c r="AD11" s="906"/>
      <c r="AE11" s="67"/>
      <c r="AF11" s="3"/>
      <c r="AG11" s="64"/>
      <c r="AH11" s="3"/>
      <c r="AI11" s="226"/>
      <c r="AJ11" s="3"/>
      <c r="AK11" s="4"/>
      <c r="AL11" s="68"/>
      <c r="AM11" s="4"/>
      <c r="AN11" s="536"/>
      <c r="AO11" s="896"/>
      <c r="AP11" s="898"/>
      <c r="AQ11" s="899"/>
      <c r="AR11" s="65"/>
      <c r="AS11" s="66"/>
      <c r="AT11" s="3"/>
      <c r="AU11" s="4"/>
      <c r="AV11" s="222">
        <f t="shared" si="0"/>
        <v>10.83</v>
      </c>
      <c r="AW11" s="537">
        <f t="shared" si="1"/>
        <v>2</v>
      </c>
      <c r="AX11" s="3"/>
      <c r="AY11" s="4"/>
      <c r="AZ11" s="54">
        <f t="shared" si="2"/>
        <v>10.83</v>
      </c>
      <c r="BA11" s="62">
        <f t="shared" si="3"/>
        <v>2</v>
      </c>
    </row>
    <row r="12" spans="1:53" s="283" customFormat="1" x14ac:dyDescent="0.25">
      <c r="A12" s="272" t="s">
        <v>10</v>
      </c>
      <c r="B12" s="275">
        <f>SUM(B5:B11)</f>
        <v>2191.58</v>
      </c>
      <c r="C12" s="278">
        <f t="shared" ref="C12:Q12" si="4">SUM(C5:C11)</f>
        <v>1890.52</v>
      </c>
      <c r="D12" s="275">
        <f t="shared" si="4"/>
        <v>5.97</v>
      </c>
      <c r="E12" s="277">
        <f t="shared" si="4"/>
        <v>15.620000000000001</v>
      </c>
      <c r="F12" s="275">
        <f t="shared" si="4"/>
        <v>61.879999999999995</v>
      </c>
      <c r="G12" s="276">
        <f t="shared" si="4"/>
        <v>45.09</v>
      </c>
      <c r="H12" s="275">
        <f t="shared" si="4"/>
        <v>0</v>
      </c>
      <c r="I12" s="278">
        <f t="shared" si="4"/>
        <v>2311</v>
      </c>
      <c r="J12" s="275">
        <f t="shared" si="4"/>
        <v>117.07000000000001</v>
      </c>
      <c r="K12" s="280">
        <f t="shared" si="4"/>
        <v>85.46</v>
      </c>
      <c r="L12" s="275">
        <f t="shared" si="4"/>
        <v>817.26</v>
      </c>
      <c r="M12" s="276">
        <f t="shared" si="4"/>
        <v>721.85</v>
      </c>
      <c r="N12" s="275">
        <f t="shared" si="4"/>
        <v>110.87</v>
      </c>
      <c r="O12" s="279">
        <f t="shared" si="4"/>
        <v>69.986199999999997</v>
      </c>
      <c r="P12" s="275">
        <f t="shared" si="4"/>
        <v>20.9328</v>
      </c>
      <c r="Q12" s="276">
        <f t="shared" si="4"/>
        <v>13.649999999999999</v>
      </c>
      <c r="R12" s="275">
        <f t="shared" ref="R12:AG12" si="5">SUM(R5:R11)</f>
        <v>105.03999999999999</v>
      </c>
      <c r="S12" s="903">
        <f t="shared" si="5"/>
        <v>48.5</v>
      </c>
      <c r="T12" s="275">
        <f t="shared" si="5"/>
        <v>108.34</v>
      </c>
      <c r="U12" s="276">
        <f t="shared" si="5"/>
        <v>84.490000000000009</v>
      </c>
      <c r="V12" s="275">
        <f t="shared" si="5"/>
        <v>9069.91</v>
      </c>
      <c r="W12" s="276">
        <f t="shared" si="5"/>
        <v>6804.13</v>
      </c>
      <c r="X12" s="275">
        <f t="shared" si="5"/>
        <v>4215.2299999999996</v>
      </c>
      <c r="Y12" s="276">
        <f t="shared" si="5"/>
        <v>3415</v>
      </c>
      <c r="Z12" s="275">
        <f t="shared" si="5"/>
        <v>103.94</v>
      </c>
      <c r="AA12" s="276">
        <f t="shared" si="5"/>
        <v>51.199999999999996</v>
      </c>
      <c r="AB12" s="275">
        <f t="shared" si="5"/>
        <v>967.02</v>
      </c>
      <c r="AC12" s="903">
        <f t="shared" si="5"/>
        <v>819</v>
      </c>
      <c r="AD12" s="275">
        <f t="shared" si="5"/>
        <v>1814.5</v>
      </c>
      <c r="AE12" s="276">
        <f t="shared" si="5"/>
        <v>1259.5700000000002</v>
      </c>
      <c r="AF12" s="275">
        <f t="shared" si="5"/>
        <v>565.44000000000005</v>
      </c>
      <c r="AG12" s="278">
        <f t="shared" si="5"/>
        <v>325.95999999999998</v>
      </c>
      <c r="AH12" s="275">
        <f>SUM(AH5:AH11)</f>
        <v>392</v>
      </c>
      <c r="AI12" s="277">
        <f>SUM(AI5:AI11)</f>
        <v>238.03</v>
      </c>
      <c r="AJ12" s="275">
        <f t="shared" ref="AJ12:AU12" si="6">SUM(AJ5:AJ11)</f>
        <v>220.13</v>
      </c>
      <c r="AK12" s="276">
        <f t="shared" si="6"/>
        <v>91.93</v>
      </c>
      <c r="AL12" s="275">
        <f t="shared" si="6"/>
        <v>0</v>
      </c>
      <c r="AM12" s="276">
        <f t="shared" si="6"/>
        <v>0</v>
      </c>
      <c r="AN12" s="281">
        <f t="shared" si="6"/>
        <v>7180.3600000000006</v>
      </c>
      <c r="AO12" s="897">
        <f t="shared" si="6"/>
        <v>6308</v>
      </c>
      <c r="AP12" s="275">
        <f t="shared" si="6"/>
        <v>247.54999999999998</v>
      </c>
      <c r="AQ12" s="277">
        <f t="shared" si="6"/>
        <v>170.79</v>
      </c>
      <c r="AR12" s="275">
        <f t="shared" si="6"/>
        <v>509.79999999999995</v>
      </c>
      <c r="AS12" s="276">
        <f t="shared" si="6"/>
        <v>176.48000000000002</v>
      </c>
      <c r="AT12" s="275">
        <f t="shared" si="6"/>
        <v>179.85999999999999</v>
      </c>
      <c r="AU12" s="279">
        <f t="shared" si="6"/>
        <v>94.99</v>
      </c>
      <c r="AV12" s="222">
        <f t="shared" si="0"/>
        <v>30070.315599999994</v>
      </c>
      <c r="AW12" s="537">
        <f t="shared" si="1"/>
        <v>26031.426200000002</v>
      </c>
      <c r="AX12" s="282">
        <f>SUM(AX5:AX11)</f>
        <v>90189.150000000009</v>
      </c>
      <c r="AY12" s="282">
        <f>SUM(AY5:AY11)</f>
        <v>89502.63</v>
      </c>
      <c r="AZ12" s="275">
        <f t="shared" si="2"/>
        <v>120259.4656</v>
      </c>
      <c r="BA12" s="280">
        <f t="shared" si="3"/>
        <v>115534.05620000001</v>
      </c>
    </row>
    <row r="13" spans="1:53" s="63" customFormat="1" ht="14.25" thickBot="1" x14ac:dyDescent="0.3">
      <c r="A13" s="69" t="s">
        <v>11</v>
      </c>
      <c r="B13" s="584"/>
      <c r="C13" s="655"/>
      <c r="D13" s="587"/>
      <c r="E13" s="588"/>
      <c r="F13" s="587"/>
      <c r="G13" s="585"/>
      <c r="H13" s="587"/>
      <c r="I13" s="586"/>
      <c r="J13" s="620"/>
      <c r="K13" s="623"/>
      <c r="L13" s="587"/>
      <c r="M13" s="585"/>
      <c r="N13" s="587"/>
      <c r="O13" s="585"/>
      <c r="P13" s="587"/>
      <c r="Q13" s="585"/>
      <c r="R13" s="626"/>
      <c r="S13" s="908"/>
      <c r="T13" s="589"/>
      <c r="U13" s="590"/>
      <c r="V13" s="589"/>
      <c r="W13" s="590"/>
      <c r="X13" s="589"/>
      <c r="Y13" s="590"/>
      <c r="Z13" s="589"/>
      <c r="AA13" s="590"/>
      <c r="AB13" s="591"/>
      <c r="AC13" s="904"/>
      <c r="AD13" s="587"/>
      <c r="AE13" s="585"/>
      <c r="AF13" s="587"/>
      <c r="AG13" s="586"/>
      <c r="AH13" s="587"/>
      <c r="AI13" s="588"/>
      <c r="AJ13" s="587"/>
      <c r="AK13" s="585"/>
      <c r="AL13" s="592"/>
      <c r="AM13" s="585"/>
      <c r="AN13" s="410"/>
      <c r="AO13" s="58"/>
      <c r="AP13" s="593"/>
      <c r="AQ13" s="900"/>
      <c r="AR13" s="594"/>
      <c r="AS13" s="595"/>
      <c r="AT13" s="587"/>
      <c r="AU13" s="585"/>
      <c r="AV13" s="627">
        <f t="shared" si="0"/>
        <v>0</v>
      </c>
      <c r="AW13" s="596">
        <f t="shared" si="1"/>
        <v>0</v>
      </c>
      <c r="AX13" s="594"/>
      <c r="AY13" s="595"/>
      <c r="AZ13" s="597">
        <f t="shared" si="2"/>
        <v>0</v>
      </c>
      <c r="BA13" s="598">
        <f t="shared" si="3"/>
        <v>0</v>
      </c>
    </row>
    <row r="14" spans="1:53" s="283" customFormat="1" ht="14.25" thickBot="1" x14ac:dyDescent="0.3">
      <c r="A14" s="465" t="s">
        <v>12</v>
      </c>
      <c r="B14" s="297">
        <f>B12+B13</f>
        <v>2191.58</v>
      </c>
      <c r="C14" s="296">
        <f t="shared" ref="C14:AH14" si="7">C12+C13</f>
        <v>1890.52</v>
      </c>
      <c r="D14" s="297">
        <f t="shared" si="7"/>
        <v>5.97</v>
      </c>
      <c r="E14" s="298">
        <f t="shared" si="7"/>
        <v>15.620000000000001</v>
      </c>
      <c r="F14" s="297">
        <f t="shared" si="7"/>
        <v>61.879999999999995</v>
      </c>
      <c r="G14" s="295">
        <f t="shared" si="7"/>
        <v>45.09</v>
      </c>
      <c r="H14" s="297">
        <f t="shared" si="7"/>
        <v>0</v>
      </c>
      <c r="I14" s="296">
        <f t="shared" si="7"/>
        <v>2311</v>
      </c>
      <c r="J14" s="624">
        <f t="shared" si="7"/>
        <v>117.07000000000001</v>
      </c>
      <c r="K14" s="656">
        <f t="shared" si="7"/>
        <v>85.46</v>
      </c>
      <c r="L14" s="297">
        <f t="shared" si="7"/>
        <v>817.26</v>
      </c>
      <c r="M14" s="295">
        <f t="shared" si="7"/>
        <v>721.85</v>
      </c>
      <c r="N14" s="297">
        <f t="shared" si="7"/>
        <v>110.87</v>
      </c>
      <c r="O14" s="599">
        <f t="shared" si="7"/>
        <v>69.986199999999997</v>
      </c>
      <c r="P14" s="297">
        <f>P12+P13</f>
        <v>20.9328</v>
      </c>
      <c r="Q14" s="295">
        <f>Q12+Q13</f>
        <v>13.649999999999999</v>
      </c>
      <c r="R14" s="624">
        <f t="shared" si="7"/>
        <v>105.03999999999999</v>
      </c>
      <c r="S14" s="909">
        <f t="shared" si="7"/>
        <v>48.5</v>
      </c>
      <c r="T14" s="297">
        <f t="shared" si="7"/>
        <v>108.34</v>
      </c>
      <c r="U14" s="295">
        <f t="shared" si="7"/>
        <v>84.490000000000009</v>
      </c>
      <c r="V14" s="297">
        <f t="shared" si="7"/>
        <v>9069.91</v>
      </c>
      <c r="W14" s="295">
        <f t="shared" si="7"/>
        <v>6804.13</v>
      </c>
      <c r="X14" s="297">
        <f t="shared" si="7"/>
        <v>4215.2299999999996</v>
      </c>
      <c r="Y14" s="295">
        <f t="shared" si="7"/>
        <v>3415</v>
      </c>
      <c r="Z14" s="297">
        <f t="shared" si="7"/>
        <v>103.94</v>
      </c>
      <c r="AA14" s="295">
        <f t="shared" si="7"/>
        <v>51.199999999999996</v>
      </c>
      <c r="AB14" s="297">
        <f t="shared" si="7"/>
        <v>967.02</v>
      </c>
      <c r="AC14" s="905">
        <f t="shared" si="7"/>
        <v>819</v>
      </c>
      <c r="AD14" s="297">
        <f t="shared" si="7"/>
        <v>1814.5</v>
      </c>
      <c r="AE14" s="295">
        <f t="shared" si="7"/>
        <v>1259.5700000000002</v>
      </c>
      <c r="AF14" s="297">
        <f t="shared" si="7"/>
        <v>565.44000000000005</v>
      </c>
      <c r="AG14" s="296">
        <f t="shared" si="7"/>
        <v>325.95999999999998</v>
      </c>
      <c r="AH14" s="297">
        <f t="shared" si="7"/>
        <v>392</v>
      </c>
      <c r="AI14" s="298">
        <f t="shared" ref="AI14:AU14" si="8">AI12+AI13</f>
        <v>238.03</v>
      </c>
      <c r="AJ14" s="297">
        <f t="shared" si="8"/>
        <v>220.13</v>
      </c>
      <c r="AK14" s="295">
        <f t="shared" si="8"/>
        <v>91.93</v>
      </c>
      <c r="AL14" s="297">
        <f t="shared" si="8"/>
        <v>0</v>
      </c>
      <c r="AM14" s="295">
        <f t="shared" si="8"/>
        <v>0</v>
      </c>
      <c r="AN14" s="297">
        <f t="shared" si="8"/>
        <v>7180.3600000000006</v>
      </c>
      <c r="AO14" s="296">
        <f t="shared" si="8"/>
        <v>6308</v>
      </c>
      <c r="AP14" s="297">
        <f t="shared" si="8"/>
        <v>247.54999999999998</v>
      </c>
      <c r="AQ14" s="298">
        <f t="shared" si="8"/>
        <v>170.79</v>
      </c>
      <c r="AR14" s="297">
        <f t="shared" si="8"/>
        <v>509.79999999999995</v>
      </c>
      <c r="AS14" s="295">
        <f t="shared" si="8"/>
        <v>176.48000000000002</v>
      </c>
      <c r="AT14" s="297">
        <f t="shared" si="8"/>
        <v>179.85999999999999</v>
      </c>
      <c r="AU14" s="599">
        <f t="shared" si="8"/>
        <v>94.99</v>
      </c>
      <c r="AV14" s="628">
        <f t="shared" si="0"/>
        <v>30070.315599999994</v>
      </c>
      <c r="AW14" s="601">
        <f t="shared" si="1"/>
        <v>26031.426200000002</v>
      </c>
      <c r="AX14" s="602">
        <f>AX12+AX13</f>
        <v>90189.150000000009</v>
      </c>
      <c r="AY14" s="602">
        <f>AY12+AY13</f>
        <v>89502.63</v>
      </c>
      <c r="AZ14" s="297">
        <f t="shared" si="2"/>
        <v>120259.4656</v>
      </c>
      <c r="BA14" s="600">
        <f t="shared" si="3"/>
        <v>115534.05620000001</v>
      </c>
    </row>
    <row r="17" spans="1:1" x14ac:dyDescent="0.25">
      <c r="A17" s="702"/>
    </row>
  </sheetData>
  <mergeCells count="29">
    <mergeCell ref="J3:K3"/>
    <mergeCell ref="L3:M3"/>
    <mergeCell ref="N3:O3"/>
    <mergeCell ref="AB3:AC3"/>
    <mergeCell ref="AD3:AE3"/>
    <mergeCell ref="AF3:AG3"/>
    <mergeCell ref="V3:W3"/>
    <mergeCell ref="X3:Y3"/>
    <mergeCell ref="Z3:AA3"/>
    <mergeCell ref="A1:AZ1"/>
    <mergeCell ref="A2:AZ2"/>
    <mergeCell ref="A3:A4"/>
    <mergeCell ref="B3:C3"/>
    <mergeCell ref="D3:E3"/>
    <mergeCell ref="F3:G3"/>
    <mergeCell ref="H3:I3"/>
    <mergeCell ref="P3:Q3"/>
    <mergeCell ref="R3:S3"/>
    <mergeCell ref="T3:U3"/>
    <mergeCell ref="AH3:AI3"/>
    <mergeCell ref="AJ3:AK3"/>
    <mergeCell ref="AL3:AM3"/>
    <mergeCell ref="AZ3:BA3"/>
    <mergeCell ref="AN3:AO3"/>
    <mergeCell ref="AP3:AQ3"/>
    <mergeCell ref="AR3:AS3"/>
    <mergeCell ref="AT3:AU3"/>
    <mergeCell ref="AV3:AW3"/>
    <mergeCell ref="AX3:AY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BA14"/>
  <sheetViews>
    <sheetView workbookViewId="0">
      <pane xSplit="1" topLeftCell="AX1" activePane="topRight" state="frozen"/>
      <selection pane="topRight" activeCell="AX11" sqref="AX11"/>
    </sheetView>
  </sheetViews>
  <sheetFormatPr defaultRowHeight="14.25" x14ac:dyDescent="0.3"/>
  <cols>
    <col min="1" max="1" width="23.7109375" style="6" bestFit="1" customWidth="1"/>
    <col min="2" max="15" width="15" style="6" bestFit="1" customWidth="1"/>
    <col min="16" max="17" width="15" style="20" bestFit="1" customWidth="1"/>
    <col min="18" max="25" width="15" style="6" bestFit="1" customWidth="1"/>
    <col min="26" max="27" width="15" style="20" bestFit="1" customWidth="1"/>
    <col min="28" max="53" width="15" style="6" bestFit="1" customWidth="1"/>
    <col min="54" max="16384" width="9.140625" style="6"/>
  </cols>
  <sheetData>
    <row r="1" spans="1:53" x14ac:dyDescent="0.3">
      <c r="A1" s="1171" t="s">
        <v>13</v>
      </c>
      <c r="B1" s="1171"/>
      <c r="C1" s="1171"/>
      <c r="D1" s="1171"/>
      <c r="E1" s="1171"/>
      <c r="F1" s="1171"/>
      <c r="G1" s="1171"/>
      <c r="H1" s="1171"/>
      <c r="I1" s="1171"/>
      <c r="J1" s="1171"/>
      <c r="K1" s="1171"/>
      <c r="L1" s="1171"/>
      <c r="M1" s="1171"/>
      <c r="N1" s="1171"/>
      <c r="O1" s="1171"/>
      <c r="P1" s="1171"/>
      <c r="Q1" s="1171"/>
      <c r="R1" s="1171"/>
      <c r="S1" s="1171"/>
      <c r="T1" s="1171"/>
      <c r="U1" s="1171"/>
      <c r="V1" s="1171"/>
      <c r="W1" s="1171"/>
      <c r="X1" s="1171"/>
      <c r="Y1" s="1171"/>
      <c r="Z1" s="1171"/>
      <c r="AA1" s="1171"/>
      <c r="AB1" s="1171"/>
      <c r="AC1" s="1171"/>
      <c r="AD1" s="1171"/>
      <c r="AE1" s="1171"/>
      <c r="AF1" s="1171"/>
      <c r="AG1" s="1171"/>
      <c r="AH1" s="1171"/>
      <c r="AI1" s="1171"/>
      <c r="AJ1" s="1171"/>
      <c r="AK1" s="1171"/>
      <c r="AL1" s="1171"/>
      <c r="AM1" s="1171"/>
      <c r="AN1" s="1171"/>
      <c r="AO1" s="1171"/>
      <c r="AP1" s="1171"/>
      <c r="AQ1" s="1171"/>
      <c r="AR1" s="1171"/>
      <c r="AS1" s="1171"/>
      <c r="AT1" s="1171"/>
      <c r="AU1" s="1171"/>
      <c r="AV1" s="1171"/>
      <c r="AW1" s="1171"/>
      <c r="AX1" s="1171"/>
      <c r="AY1" s="1171"/>
      <c r="AZ1" s="1171"/>
    </row>
    <row r="2" spans="1:53" ht="15" thickBot="1" x14ac:dyDescent="0.35">
      <c r="A2" s="1145"/>
      <c r="B2" s="1145"/>
      <c r="C2" s="1145"/>
      <c r="D2" s="1145"/>
      <c r="E2" s="1145"/>
      <c r="F2" s="1145"/>
      <c r="G2" s="1145"/>
      <c r="H2" s="1145"/>
      <c r="I2" s="1145"/>
      <c r="J2" s="1145"/>
      <c r="K2" s="1145"/>
      <c r="L2" s="1145"/>
      <c r="M2" s="1145"/>
      <c r="N2" s="1145"/>
      <c r="O2" s="1145"/>
      <c r="P2" s="1145"/>
      <c r="Q2" s="1145"/>
      <c r="R2" s="1145"/>
      <c r="S2" s="1145"/>
      <c r="T2" s="1145"/>
      <c r="U2" s="1145"/>
      <c r="V2" s="1145"/>
      <c r="W2" s="1145"/>
      <c r="X2" s="1145"/>
      <c r="Y2" s="1145"/>
      <c r="Z2" s="1145"/>
      <c r="AA2" s="1145"/>
      <c r="AB2" s="1145"/>
      <c r="AC2" s="1145"/>
      <c r="AD2" s="1145"/>
      <c r="AE2" s="1145"/>
      <c r="AF2" s="1145"/>
      <c r="AG2" s="1145"/>
      <c r="AH2" s="1145"/>
      <c r="AI2" s="1145"/>
      <c r="AJ2" s="1145"/>
      <c r="AK2" s="1145"/>
      <c r="AL2" s="1145"/>
      <c r="AM2" s="1145"/>
      <c r="AN2" s="1145"/>
      <c r="AO2" s="1145"/>
      <c r="AP2" s="1145"/>
      <c r="AQ2" s="1145"/>
      <c r="AR2" s="1145"/>
      <c r="AS2" s="1145"/>
      <c r="AT2" s="1145"/>
      <c r="AU2" s="1145"/>
      <c r="AV2" s="1145"/>
      <c r="AW2" s="1145"/>
      <c r="AX2" s="1145"/>
      <c r="AY2" s="1145"/>
      <c r="AZ2" s="1145"/>
    </row>
    <row r="3" spans="1:53" ht="27" customHeight="1" thickBot="1" x14ac:dyDescent="0.35">
      <c r="A3" s="1173" t="s">
        <v>0</v>
      </c>
      <c r="B3" s="1193" t="s">
        <v>114</v>
      </c>
      <c r="C3" s="1194"/>
      <c r="D3" s="1195" t="s">
        <v>115</v>
      </c>
      <c r="E3" s="1195"/>
      <c r="F3" s="1196" t="s">
        <v>116</v>
      </c>
      <c r="G3" s="1195"/>
      <c r="H3" s="1184" t="s">
        <v>117</v>
      </c>
      <c r="I3" s="1188"/>
      <c r="J3" s="1184" t="s">
        <v>118</v>
      </c>
      <c r="K3" s="1188"/>
      <c r="L3" s="1184" t="s">
        <v>119</v>
      </c>
      <c r="M3" s="1188"/>
      <c r="N3" s="1184" t="s">
        <v>220</v>
      </c>
      <c r="O3" s="1188"/>
      <c r="P3" s="1197" t="s">
        <v>120</v>
      </c>
      <c r="Q3" s="1192"/>
      <c r="R3" s="1184" t="s">
        <v>121</v>
      </c>
      <c r="S3" s="1185"/>
      <c r="T3" s="1186" t="s">
        <v>122</v>
      </c>
      <c r="U3" s="1187"/>
      <c r="V3" s="1184" t="s">
        <v>123</v>
      </c>
      <c r="W3" s="1185"/>
      <c r="X3" s="1184" t="s">
        <v>124</v>
      </c>
      <c r="Y3" s="1185"/>
      <c r="Z3" s="1191" t="s">
        <v>226</v>
      </c>
      <c r="AA3" s="1192"/>
      <c r="AB3" s="1184" t="s">
        <v>125</v>
      </c>
      <c r="AC3" s="1187"/>
      <c r="AD3" s="1189" t="s">
        <v>126</v>
      </c>
      <c r="AE3" s="1190"/>
      <c r="AF3" s="1184" t="s">
        <v>127</v>
      </c>
      <c r="AG3" s="1185"/>
      <c r="AH3" s="1184" t="s">
        <v>128</v>
      </c>
      <c r="AI3" s="1185"/>
      <c r="AJ3" s="1184" t="s">
        <v>129</v>
      </c>
      <c r="AK3" s="1185"/>
      <c r="AL3" s="1181" t="s">
        <v>130</v>
      </c>
      <c r="AM3" s="1182"/>
      <c r="AN3" s="1184" t="s">
        <v>131</v>
      </c>
      <c r="AO3" s="1185"/>
      <c r="AP3" s="1186" t="s">
        <v>132</v>
      </c>
      <c r="AQ3" s="1187"/>
      <c r="AR3" s="1184" t="s">
        <v>133</v>
      </c>
      <c r="AS3" s="1185"/>
      <c r="AT3" s="1186" t="s">
        <v>134</v>
      </c>
      <c r="AU3" s="1188"/>
      <c r="AV3" s="1184" t="s">
        <v>1</v>
      </c>
      <c r="AW3" s="1187"/>
      <c r="AX3" s="1189" t="s">
        <v>135</v>
      </c>
      <c r="AY3" s="1190"/>
      <c r="AZ3" s="1181" t="s">
        <v>2</v>
      </c>
      <c r="BA3" s="1183"/>
    </row>
    <row r="4" spans="1:53" s="273" customFormat="1" ht="15" thickBot="1" x14ac:dyDescent="0.35">
      <c r="A4" s="1174"/>
      <c r="B4" s="344" t="s">
        <v>329</v>
      </c>
      <c r="C4" s="344" t="s">
        <v>223</v>
      </c>
      <c r="D4" s="343" t="s">
        <v>329</v>
      </c>
      <c r="E4" s="345" t="s">
        <v>223</v>
      </c>
      <c r="F4" s="344" t="s">
        <v>329</v>
      </c>
      <c r="G4" s="345" t="s">
        <v>223</v>
      </c>
      <c r="H4" s="344" t="s">
        <v>329</v>
      </c>
      <c r="I4" s="345" t="s">
        <v>223</v>
      </c>
      <c r="J4" s="344" t="s">
        <v>329</v>
      </c>
      <c r="K4" s="345" t="s">
        <v>223</v>
      </c>
      <c r="L4" s="344" t="s">
        <v>329</v>
      </c>
      <c r="M4" s="345" t="s">
        <v>223</v>
      </c>
      <c r="N4" s="344" t="s">
        <v>329</v>
      </c>
      <c r="O4" s="345" t="s">
        <v>223</v>
      </c>
      <c r="P4" s="344" t="s">
        <v>329</v>
      </c>
      <c r="Q4" s="345" t="s">
        <v>223</v>
      </c>
      <c r="R4" s="344" t="s">
        <v>329</v>
      </c>
      <c r="S4" s="345" t="s">
        <v>223</v>
      </c>
      <c r="T4" s="344" t="s">
        <v>329</v>
      </c>
      <c r="U4" s="345" t="s">
        <v>223</v>
      </c>
      <c r="V4" s="344" t="s">
        <v>329</v>
      </c>
      <c r="W4" s="345" t="s">
        <v>223</v>
      </c>
      <c r="X4" s="344" t="s">
        <v>329</v>
      </c>
      <c r="Y4" s="345" t="s">
        <v>223</v>
      </c>
      <c r="Z4" s="344" t="s">
        <v>329</v>
      </c>
      <c r="AA4" s="345" t="s">
        <v>223</v>
      </c>
      <c r="AB4" s="344" t="s">
        <v>329</v>
      </c>
      <c r="AC4" s="345" t="s">
        <v>223</v>
      </c>
      <c r="AD4" s="344" t="s">
        <v>329</v>
      </c>
      <c r="AE4" s="345" t="s">
        <v>223</v>
      </c>
      <c r="AF4" s="344" t="s">
        <v>329</v>
      </c>
      <c r="AG4" s="345" t="s">
        <v>223</v>
      </c>
      <c r="AH4" s="344" t="s">
        <v>329</v>
      </c>
      <c r="AI4" s="345" t="s">
        <v>223</v>
      </c>
      <c r="AJ4" s="344" t="s">
        <v>329</v>
      </c>
      <c r="AK4" s="345" t="s">
        <v>223</v>
      </c>
      <c r="AL4" s="344" t="s">
        <v>329</v>
      </c>
      <c r="AM4" s="345" t="s">
        <v>223</v>
      </c>
      <c r="AN4" s="344" t="s">
        <v>329</v>
      </c>
      <c r="AO4" s="345" t="s">
        <v>223</v>
      </c>
      <c r="AP4" s="344" t="s">
        <v>329</v>
      </c>
      <c r="AQ4" s="345" t="s">
        <v>223</v>
      </c>
      <c r="AR4" s="344" t="s">
        <v>329</v>
      </c>
      <c r="AS4" s="345" t="s">
        <v>223</v>
      </c>
      <c r="AT4" s="344" t="s">
        <v>329</v>
      </c>
      <c r="AU4" s="345" t="s">
        <v>223</v>
      </c>
      <c r="AV4" s="344" t="s">
        <v>329</v>
      </c>
      <c r="AW4" s="345" t="s">
        <v>223</v>
      </c>
      <c r="AX4" s="344" t="s">
        <v>329</v>
      </c>
      <c r="AY4" s="345" t="s">
        <v>223</v>
      </c>
      <c r="AZ4" s="344" t="s">
        <v>329</v>
      </c>
      <c r="BA4" s="344" t="s">
        <v>223</v>
      </c>
    </row>
    <row r="5" spans="1:53" s="459" customFormat="1" ht="13.5" x14ac:dyDescent="0.25">
      <c r="A5" s="240" t="s">
        <v>3</v>
      </c>
      <c r="B5" s="341">
        <v>7845</v>
      </c>
      <c r="C5" s="340">
        <v>9854</v>
      </c>
      <c r="D5" s="338"/>
      <c r="E5" s="339"/>
      <c r="F5" s="341">
        <v>1889</v>
      </c>
      <c r="G5" s="339">
        <v>195</v>
      </c>
      <c r="H5" s="341"/>
      <c r="I5" s="339">
        <v>1902</v>
      </c>
      <c r="J5" s="341"/>
      <c r="K5" s="339"/>
      <c r="L5" s="341"/>
      <c r="M5" s="339"/>
      <c r="N5" s="341"/>
      <c r="O5" s="339">
        <v>91</v>
      </c>
      <c r="P5" s="341">
        <v>102</v>
      </c>
      <c r="Q5" s="339">
        <v>1471</v>
      </c>
      <c r="R5" s="341"/>
      <c r="S5" s="340"/>
      <c r="T5" s="338">
        <v>380</v>
      </c>
      <c r="U5" s="464">
        <v>627</v>
      </c>
      <c r="V5" s="341">
        <v>517</v>
      </c>
      <c r="W5" s="340">
        <v>806</v>
      </c>
      <c r="X5" s="341">
        <v>40913</v>
      </c>
      <c r="Y5" s="340">
        <v>41953</v>
      </c>
      <c r="Z5" s="338">
        <v>3306</v>
      </c>
      <c r="AA5" s="339">
        <v>6023</v>
      </c>
      <c r="AB5" s="236"/>
      <c r="AC5" s="657"/>
      <c r="AD5" s="341">
        <v>857</v>
      </c>
      <c r="AE5" s="340">
        <v>38</v>
      </c>
      <c r="AF5" s="341">
        <v>194</v>
      </c>
      <c r="AG5" s="340">
        <v>10188</v>
      </c>
      <c r="AH5" s="341">
        <v>1087</v>
      </c>
      <c r="AI5" s="340">
        <v>332</v>
      </c>
      <c r="AJ5" s="341"/>
      <c r="AK5" s="340"/>
      <c r="AL5" s="338"/>
      <c r="AM5" s="464"/>
      <c r="AN5" s="659">
        <v>18109</v>
      </c>
      <c r="AO5" s="458">
        <v>279299</v>
      </c>
      <c r="AP5" s="338"/>
      <c r="AQ5" s="464"/>
      <c r="AR5" s="341"/>
      <c r="AS5" s="340">
        <v>37</v>
      </c>
      <c r="AT5" s="338">
        <v>7998</v>
      </c>
      <c r="AU5" s="339">
        <v>10148</v>
      </c>
      <c r="AV5" s="341">
        <f t="shared" ref="AV5:AV14" si="0">SUM(B5+D5+F5+H5+J5+L5+N5+P5+R5+T5+V5+X5+Z5+P5+AD5+AF5+AH5+AJ5+AL5+AN5+AP5+AR5+AT5)</f>
        <v>83299</v>
      </c>
      <c r="AW5" s="615">
        <f t="shared" ref="AW5:AW14" si="1">SUM(C5+E5+G5+I5+K5+M5+O5+Q5+S5+U5+W5+Y5+AA5+Q5+AE5+AG5+AI5+AK5+AM5+AO5+AQ5+AS5+AU5)</f>
        <v>364435</v>
      </c>
      <c r="AX5" s="341">
        <v>962115</v>
      </c>
      <c r="AY5" s="340">
        <v>420841</v>
      </c>
      <c r="AZ5" s="338">
        <f t="shared" ref="AZ5:AZ14" si="2">AV5+AX5</f>
        <v>1045414</v>
      </c>
      <c r="BA5" s="338">
        <f t="shared" ref="BA5:BA14" si="3">AW5+AY5</f>
        <v>785276</v>
      </c>
    </row>
    <row r="6" spans="1:53" s="459" customFormat="1" ht="13.5" x14ac:dyDescent="0.25">
      <c r="A6" s="240" t="s">
        <v>4</v>
      </c>
      <c r="B6" s="8">
        <v>51448</v>
      </c>
      <c r="C6" s="340">
        <v>4776</v>
      </c>
      <c r="D6" s="19"/>
      <c r="E6" s="16"/>
      <c r="F6" s="17">
        <v>15383</v>
      </c>
      <c r="G6" s="339">
        <v>4742</v>
      </c>
      <c r="H6" s="17"/>
      <c r="I6" s="339">
        <v>4336348</v>
      </c>
      <c r="J6" s="17">
        <v>62352</v>
      </c>
      <c r="K6" s="16">
        <v>32139</v>
      </c>
      <c r="L6" s="17">
        <v>3685620</v>
      </c>
      <c r="M6" s="16">
        <v>4062684</v>
      </c>
      <c r="N6" s="17">
        <v>1</v>
      </c>
      <c r="O6" s="16">
        <v>23</v>
      </c>
      <c r="P6" s="17">
        <v>54233</v>
      </c>
      <c r="Q6" s="339">
        <v>110586</v>
      </c>
      <c r="R6" s="17">
        <v>247</v>
      </c>
      <c r="S6" s="340">
        <v>162</v>
      </c>
      <c r="T6" s="19">
        <v>6607</v>
      </c>
      <c r="U6" s="464">
        <v>24956</v>
      </c>
      <c r="V6" s="17">
        <v>16440351</v>
      </c>
      <c r="W6" s="340">
        <v>10125930</v>
      </c>
      <c r="X6" s="17">
        <v>1019253</v>
      </c>
      <c r="Y6" s="340">
        <v>650706</v>
      </c>
      <c r="Z6" s="460">
        <v>14582</v>
      </c>
      <c r="AA6" s="339">
        <v>8277</v>
      </c>
      <c r="AB6" s="17">
        <v>238061</v>
      </c>
      <c r="AC6" s="539">
        <v>79644</v>
      </c>
      <c r="AD6" s="17">
        <v>3225008</v>
      </c>
      <c r="AE6" s="340">
        <v>1965261</v>
      </c>
      <c r="AF6" s="17">
        <v>1714854</v>
      </c>
      <c r="AG6" s="340">
        <v>1104113</v>
      </c>
      <c r="AH6" s="17">
        <v>159672</v>
      </c>
      <c r="AI6" s="340">
        <v>533122</v>
      </c>
      <c r="AJ6" s="17"/>
      <c r="AK6" s="340"/>
      <c r="AL6" s="461"/>
      <c r="AM6" s="539"/>
      <c r="AN6" s="660">
        <v>450150</v>
      </c>
      <c r="AO6" s="458">
        <v>831022</v>
      </c>
      <c r="AP6" s="462"/>
      <c r="AQ6" s="663"/>
      <c r="AR6" s="666">
        <v>4213662</v>
      </c>
      <c r="AS6" s="340">
        <v>2955053</v>
      </c>
      <c r="AT6" s="19">
        <v>3017</v>
      </c>
      <c r="AU6" s="339">
        <v>5621</v>
      </c>
      <c r="AV6" s="8">
        <f t="shared" si="0"/>
        <v>31170673</v>
      </c>
      <c r="AW6" s="669">
        <f t="shared" si="1"/>
        <v>26866107</v>
      </c>
      <c r="AX6" s="666">
        <v>58440</v>
      </c>
      <c r="AY6" s="340">
        <v>37441</v>
      </c>
      <c r="AZ6" s="9">
        <f t="shared" si="2"/>
        <v>31229113</v>
      </c>
      <c r="BA6" s="9">
        <f t="shared" si="3"/>
        <v>26903548</v>
      </c>
    </row>
    <row r="7" spans="1:53" s="459" customFormat="1" ht="13.5" x14ac:dyDescent="0.25">
      <c r="A7" s="240" t="s">
        <v>5</v>
      </c>
      <c r="B7" s="8">
        <v>686195</v>
      </c>
      <c r="C7" s="340">
        <v>351050</v>
      </c>
      <c r="D7" s="19">
        <v>3758</v>
      </c>
      <c r="E7" s="16">
        <v>15315</v>
      </c>
      <c r="F7" s="17"/>
      <c r="G7" s="339"/>
      <c r="H7" s="17"/>
      <c r="I7" s="339">
        <v>82273</v>
      </c>
      <c r="J7" s="17">
        <v>474</v>
      </c>
      <c r="K7" s="16">
        <v>87</v>
      </c>
      <c r="L7" s="17">
        <v>12348</v>
      </c>
      <c r="M7" s="16">
        <v>4912</v>
      </c>
      <c r="N7" s="17">
        <v>20901</v>
      </c>
      <c r="O7" s="16">
        <v>720884</v>
      </c>
      <c r="P7" s="17"/>
      <c r="Q7" s="339"/>
      <c r="R7" s="17">
        <v>2</v>
      </c>
      <c r="S7" s="340">
        <v>136</v>
      </c>
      <c r="T7" s="19">
        <v>42</v>
      </c>
      <c r="U7" s="464">
        <v>112</v>
      </c>
      <c r="V7" s="17">
        <v>3070352</v>
      </c>
      <c r="W7" s="340">
        <v>1451351</v>
      </c>
      <c r="X7" s="17">
        <v>1452517</v>
      </c>
      <c r="Y7" s="340">
        <v>777995</v>
      </c>
      <c r="Z7" s="460"/>
      <c r="AA7" s="339"/>
      <c r="AB7" s="17"/>
      <c r="AC7" s="539"/>
      <c r="AD7" s="17">
        <v>2289254</v>
      </c>
      <c r="AE7" s="340">
        <v>1176986</v>
      </c>
      <c r="AF7" s="17">
        <v>10861</v>
      </c>
      <c r="AG7" s="340">
        <v>8522</v>
      </c>
      <c r="AH7" s="17">
        <v>12867</v>
      </c>
      <c r="AI7" s="340">
        <v>4739</v>
      </c>
      <c r="AJ7" s="17"/>
      <c r="AK7" s="340"/>
      <c r="AL7" s="461"/>
      <c r="AM7" s="539"/>
      <c r="AN7" s="660">
        <v>4428</v>
      </c>
      <c r="AO7" s="458">
        <v>7244</v>
      </c>
      <c r="AP7" s="462">
        <v>478140</v>
      </c>
      <c r="AQ7" s="663">
        <v>715243</v>
      </c>
      <c r="AR7" s="666"/>
      <c r="AS7" s="340"/>
      <c r="AT7" s="19"/>
      <c r="AU7" s="339"/>
      <c r="AV7" s="8">
        <f t="shared" si="0"/>
        <v>8042139</v>
      </c>
      <c r="AW7" s="669">
        <f t="shared" si="1"/>
        <v>5316849</v>
      </c>
      <c r="AX7" s="666">
        <v>382786</v>
      </c>
      <c r="AY7" s="340">
        <v>3864</v>
      </c>
      <c r="AZ7" s="9">
        <f t="shared" si="2"/>
        <v>8424925</v>
      </c>
      <c r="BA7" s="9">
        <f t="shared" si="3"/>
        <v>5320713</v>
      </c>
    </row>
    <row r="8" spans="1:53" s="459" customFormat="1" ht="13.5" x14ac:dyDescent="0.25">
      <c r="A8" s="240" t="s">
        <v>6</v>
      </c>
      <c r="B8" s="8">
        <v>418773</v>
      </c>
      <c r="C8" s="340">
        <v>389331</v>
      </c>
      <c r="D8" s="19">
        <v>39643</v>
      </c>
      <c r="E8" s="16">
        <v>63975</v>
      </c>
      <c r="F8" s="17">
        <v>146211</v>
      </c>
      <c r="G8" s="339">
        <v>310275</v>
      </c>
      <c r="H8" s="17"/>
      <c r="I8" s="339">
        <v>611374</v>
      </c>
      <c r="J8" s="17">
        <v>642</v>
      </c>
      <c r="K8" s="16"/>
      <c r="L8" s="17">
        <v>93877</v>
      </c>
      <c r="M8" s="16">
        <v>252427</v>
      </c>
      <c r="N8" s="17">
        <v>79426</v>
      </c>
      <c r="O8" s="16">
        <v>208003</v>
      </c>
      <c r="P8" s="17">
        <v>10199</v>
      </c>
      <c r="Q8" s="339">
        <v>26611</v>
      </c>
      <c r="R8" s="17">
        <v>823018</v>
      </c>
      <c r="S8" s="340">
        <v>736608</v>
      </c>
      <c r="T8" s="19">
        <v>24034</v>
      </c>
      <c r="U8" s="464">
        <v>35338</v>
      </c>
      <c r="V8" s="17">
        <v>2788947</v>
      </c>
      <c r="W8" s="340">
        <v>1263290</v>
      </c>
      <c r="X8" s="17">
        <v>1599343</v>
      </c>
      <c r="Y8" s="340">
        <v>1287435</v>
      </c>
      <c r="Z8" s="460"/>
      <c r="AA8" s="339"/>
      <c r="AB8" s="17">
        <v>693372</v>
      </c>
      <c r="AC8" s="539">
        <v>779792</v>
      </c>
      <c r="AD8" s="17">
        <v>570980</v>
      </c>
      <c r="AE8" s="340">
        <v>234962</v>
      </c>
      <c r="AF8" s="17">
        <v>59276</v>
      </c>
      <c r="AG8" s="340">
        <v>249390</v>
      </c>
      <c r="AH8" s="17">
        <v>971977</v>
      </c>
      <c r="AI8" s="340">
        <v>576813</v>
      </c>
      <c r="AJ8" s="17">
        <v>29953</v>
      </c>
      <c r="AK8" s="340">
        <v>1194</v>
      </c>
      <c r="AL8" s="461"/>
      <c r="AM8" s="539"/>
      <c r="AN8" s="660">
        <v>448413</v>
      </c>
      <c r="AO8" s="458">
        <v>285750</v>
      </c>
      <c r="AP8" s="462">
        <v>160462</v>
      </c>
      <c r="AQ8" s="663">
        <v>195305</v>
      </c>
      <c r="AR8" s="666">
        <v>27114</v>
      </c>
      <c r="AS8" s="340">
        <v>19606</v>
      </c>
      <c r="AT8" s="19">
        <v>452868</v>
      </c>
      <c r="AU8" s="339">
        <v>84493</v>
      </c>
      <c r="AV8" s="8">
        <f t="shared" si="0"/>
        <v>8755355</v>
      </c>
      <c r="AW8" s="669">
        <f t="shared" si="1"/>
        <v>6858791</v>
      </c>
      <c r="AX8" s="666">
        <v>366101</v>
      </c>
      <c r="AY8" s="340">
        <v>3915</v>
      </c>
      <c r="AZ8" s="9">
        <f t="shared" si="2"/>
        <v>9121456</v>
      </c>
      <c r="BA8" s="9">
        <f t="shared" si="3"/>
        <v>6862706</v>
      </c>
    </row>
    <row r="9" spans="1:53" s="459" customFormat="1" ht="13.5" x14ac:dyDescent="0.25">
      <c r="A9" s="240" t="s">
        <v>7</v>
      </c>
      <c r="B9" s="8"/>
      <c r="C9" s="340"/>
      <c r="D9" s="19"/>
      <c r="E9" s="16"/>
      <c r="F9" s="17"/>
      <c r="G9" s="339"/>
      <c r="H9" s="17"/>
      <c r="I9" s="339">
        <v>816543</v>
      </c>
      <c r="J9" s="17"/>
      <c r="K9" s="16"/>
      <c r="L9" s="17"/>
      <c r="M9" s="16"/>
      <c r="N9" s="17">
        <v>70486</v>
      </c>
      <c r="O9" s="16">
        <v>80399</v>
      </c>
      <c r="P9" s="17"/>
      <c r="Q9" s="339"/>
      <c r="R9" s="17"/>
      <c r="S9" s="340"/>
      <c r="T9" s="19"/>
      <c r="U9" s="464"/>
      <c r="V9" s="17">
        <v>423182</v>
      </c>
      <c r="W9" s="340">
        <v>170336</v>
      </c>
      <c r="X9" s="17"/>
      <c r="Y9" s="340"/>
      <c r="Z9" s="460"/>
      <c r="AA9" s="339"/>
      <c r="AB9" s="17"/>
      <c r="AC9" s="539"/>
      <c r="AD9" s="17">
        <v>2286668</v>
      </c>
      <c r="AE9" s="340">
        <v>1418153</v>
      </c>
      <c r="AF9" s="17"/>
      <c r="AG9" s="340"/>
      <c r="AH9" s="17"/>
      <c r="AI9" s="340"/>
      <c r="AJ9" s="17"/>
      <c r="AK9" s="340"/>
      <c r="AL9" s="461"/>
      <c r="AM9" s="539"/>
      <c r="AN9" s="660"/>
      <c r="AO9" s="458"/>
      <c r="AP9" s="462"/>
      <c r="AQ9" s="663"/>
      <c r="AR9" s="666"/>
      <c r="AS9" s="340"/>
      <c r="AT9" s="19"/>
      <c r="AU9" s="339"/>
      <c r="AV9" s="8">
        <f t="shared" si="0"/>
        <v>2780336</v>
      </c>
      <c r="AW9" s="669">
        <f t="shared" si="1"/>
        <v>2485431</v>
      </c>
      <c r="AX9" s="666"/>
      <c r="AY9" s="340"/>
      <c r="AZ9" s="9">
        <f t="shared" si="2"/>
        <v>2780336</v>
      </c>
      <c r="BA9" s="9">
        <f t="shared" si="3"/>
        <v>2485431</v>
      </c>
    </row>
    <row r="10" spans="1:53" s="459" customFormat="1" ht="13.5" x14ac:dyDescent="0.25">
      <c r="A10" s="240" t="s">
        <v>8</v>
      </c>
      <c r="B10" s="8">
        <v>247058</v>
      </c>
      <c r="C10" s="340">
        <v>277798</v>
      </c>
      <c r="D10" s="19">
        <v>9925</v>
      </c>
      <c r="E10" s="16">
        <v>10541</v>
      </c>
      <c r="F10" s="17">
        <v>45592</v>
      </c>
      <c r="G10" s="339">
        <v>65750</v>
      </c>
      <c r="H10" s="17"/>
      <c r="I10" s="339">
        <v>6854156</v>
      </c>
      <c r="J10" s="17">
        <v>223491</v>
      </c>
      <c r="K10" s="16">
        <v>1519405</v>
      </c>
      <c r="L10" s="17">
        <v>41117</v>
      </c>
      <c r="M10" s="16">
        <v>45136</v>
      </c>
      <c r="N10" s="17">
        <v>601185</v>
      </c>
      <c r="O10" s="16">
        <v>882208</v>
      </c>
      <c r="P10" s="17">
        <v>9561</v>
      </c>
      <c r="Q10" s="339">
        <v>15187</v>
      </c>
      <c r="R10" s="17">
        <v>-146648</v>
      </c>
      <c r="S10" s="340">
        <v>13536</v>
      </c>
      <c r="T10" s="19">
        <v>37629</v>
      </c>
      <c r="U10" s="464">
        <v>8761</v>
      </c>
      <c r="V10" s="17">
        <v>11445464</v>
      </c>
      <c r="W10" s="340">
        <v>7566520</v>
      </c>
      <c r="X10" s="17">
        <v>16061421</v>
      </c>
      <c r="Y10" s="340">
        <v>11872717</v>
      </c>
      <c r="Z10" s="460">
        <v>2158</v>
      </c>
      <c r="AA10" s="339">
        <v>1754</v>
      </c>
      <c r="AB10" s="17">
        <v>3479252</v>
      </c>
      <c r="AC10" s="539">
        <v>1754088</v>
      </c>
      <c r="AD10" s="613">
        <v>5410668</v>
      </c>
      <c r="AE10" s="340">
        <v>3871061</v>
      </c>
      <c r="AF10" s="17">
        <v>791099</v>
      </c>
      <c r="AG10" s="340">
        <v>1150669</v>
      </c>
      <c r="AH10" s="17">
        <v>674663</v>
      </c>
      <c r="AI10" s="340">
        <v>145698</v>
      </c>
      <c r="AJ10" s="17">
        <v>150818</v>
      </c>
      <c r="AK10" s="340">
        <v>156164</v>
      </c>
      <c r="AL10" s="461"/>
      <c r="AM10" s="539"/>
      <c r="AN10" s="660">
        <v>6524684</v>
      </c>
      <c r="AO10" s="458">
        <v>5585435</v>
      </c>
      <c r="AP10" s="462">
        <v>2435158</v>
      </c>
      <c r="AQ10" s="663">
        <v>2911076</v>
      </c>
      <c r="AR10" s="666">
        <v>101504</v>
      </c>
      <c r="AS10" s="340">
        <v>3690</v>
      </c>
      <c r="AT10" s="19">
        <v>229910</v>
      </c>
      <c r="AU10" s="339">
        <v>245519</v>
      </c>
      <c r="AV10" s="8">
        <f t="shared" si="0"/>
        <v>44906018</v>
      </c>
      <c r="AW10" s="669">
        <f t="shared" si="1"/>
        <v>43217968</v>
      </c>
      <c r="AX10" s="17">
        <v>14952682</v>
      </c>
      <c r="AY10" s="340">
        <v>15988994</v>
      </c>
      <c r="AZ10" s="9">
        <f t="shared" si="2"/>
        <v>59858700</v>
      </c>
      <c r="BA10" s="9">
        <f t="shared" si="3"/>
        <v>59206962</v>
      </c>
    </row>
    <row r="11" spans="1:53" s="459" customFormat="1" thickBot="1" x14ac:dyDescent="0.3">
      <c r="A11" s="240" t="s">
        <v>9</v>
      </c>
      <c r="B11" s="439"/>
      <c r="C11" s="487"/>
      <c r="D11" s="441"/>
      <c r="E11" s="489"/>
      <c r="F11" s="444"/>
      <c r="G11" s="489"/>
      <c r="H11" s="444"/>
      <c r="I11" s="489"/>
      <c r="J11" s="444"/>
      <c r="K11" s="489"/>
      <c r="L11" s="444"/>
      <c r="M11" s="16"/>
      <c r="N11" s="444"/>
      <c r="O11" s="16"/>
      <c r="P11" s="444"/>
      <c r="Q11" s="339"/>
      <c r="R11" s="444"/>
      <c r="S11" s="340"/>
      <c r="T11" s="441"/>
      <c r="U11" s="464"/>
      <c r="V11" s="444"/>
      <c r="W11" s="340"/>
      <c r="X11" s="444">
        <f>4984+2672+204272</f>
        <v>211928</v>
      </c>
      <c r="Y11" s="340">
        <f>96+47071</f>
        <v>47167</v>
      </c>
      <c r="Z11" s="491"/>
      <c r="AA11" s="339"/>
      <c r="AB11" s="444"/>
      <c r="AC11" s="541"/>
      <c r="AD11" s="614"/>
      <c r="AE11" s="442"/>
      <c r="AF11" s="444"/>
      <c r="AG11" s="340"/>
      <c r="AH11" s="444"/>
      <c r="AI11" s="340"/>
      <c r="AJ11" s="444"/>
      <c r="AK11" s="490"/>
      <c r="AL11" s="492"/>
      <c r="AM11" s="541"/>
      <c r="AN11" s="661"/>
      <c r="AO11" s="493"/>
      <c r="AP11" s="494"/>
      <c r="AQ11" s="664"/>
      <c r="AR11" s="667"/>
      <c r="AS11" s="495"/>
      <c r="AT11" s="441"/>
      <c r="AU11" s="489"/>
      <c r="AV11" s="439">
        <f t="shared" si="0"/>
        <v>211928</v>
      </c>
      <c r="AW11" s="670">
        <f t="shared" si="1"/>
        <v>47167</v>
      </c>
      <c r="AX11" s="444"/>
      <c r="AY11" s="340"/>
      <c r="AZ11" s="443">
        <f t="shared" si="2"/>
        <v>211928</v>
      </c>
      <c r="BA11" s="443">
        <f t="shared" si="3"/>
        <v>47167</v>
      </c>
    </row>
    <row r="12" spans="1:53" s="273" customFormat="1" ht="15" thickBot="1" x14ac:dyDescent="0.35">
      <c r="A12" s="465" t="s">
        <v>10</v>
      </c>
      <c r="B12" s="428">
        <f>SUM(B5:B11)</f>
        <v>1411319</v>
      </c>
      <c r="C12" s="431">
        <f t="shared" ref="C12:AH12" si="4">SUM(C5:C11)</f>
        <v>1032809</v>
      </c>
      <c r="D12" s="432">
        <f t="shared" si="4"/>
        <v>53326</v>
      </c>
      <c r="E12" s="430">
        <f t="shared" si="4"/>
        <v>89831</v>
      </c>
      <c r="F12" s="428">
        <f t="shared" si="4"/>
        <v>209075</v>
      </c>
      <c r="G12" s="430">
        <f t="shared" si="4"/>
        <v>380962</v>
      </c>
      <c r="H12" s="428">
        <f t="shared" si="4"/>
        <v>0</v>
      </c>
      <c r="I12" s="430">
        <f t="shared" si="4"/>
        <v>12702596</v>
      </c>
      <c r="J12" s="428">
        <f t="shared" si="4"/>
        <v>286959</v>
      </c>
      <c r="K12" s="430">
        <f t="shared" si="4"/>
        <v>1551631</v>
      </c>
      <c r="L12" s="428">
        <f t="shared" si="4"/>
        <v>3832962</v>
      </c>
      <c r="M12" s="430">
        <f t="shared" si="4"/>
        <v>4365159</v>
      </c>
      <c r="N12" s="428">
        <f t="shared" si="4"/>
        <v>771999</v>
      </c>
      <c r="O12" s="430">
        <f t="shared" si="4"/>
        <v>1891608</v>
      </c>
      <c r="P12" s="428">
        <f>SUM(P5:P11)</f>
        <v>74095</v>
      </c>
      <c r="Q12" s="430">
        <f>SUM(Q5:Q11)</f>
        <v>153855</v>
      </c>
      <c r="R12" s="428">
        <f t="shared" si="4"/>
        <v>676619</v>
      </c>
      <c r="S12" s="431">
        <f t="shared" si="4"/>
        <v>750442</v>
      </c>
      <c r="T12" s="432">
        <f t="shared" si="4"/>
        <v>68692</v>
      </c>
      <c r="U12" s="488">
        <f t="shared" si="4"/>
        <v>69794</v>
      </c>
      <c r="V12" s="428">
        <f t="shared" si="4"/>
        <v>34168813</v>
      </c>
      <c r="W12" s="431">
        <f t="shared" si="4"/>
        <v>20578233</v>
      </c>
      <c r="X12" s="428">
        <f t="shared" si="4"/>
        <v>20385375</v>
      </c>
      <c r="Y12" s="431">
        <f t="shared" si="4"/>
        <v>14677973</v>
      </c>
      <c r="Z12" s="432">
        <f t="shared" si="4"/>
        <v>20046</v>
      </c>
      <c r="AA12" s="430">
        <f t="shared" si="4"/>
        <v>16054</v>
      </c>
      <c r="AB12" s="428">
        <f t="shared" si="4"/>
        <v>4410685</v>
      </c>
      <c r="AC12" s="488">
        <f t="shared" si="4"/>
        <v>2613524</v>
      </c>
      <c r="AD12" s="428">
        <f t="shared" si="4"/>
        <v>13783435</v>
      </c>
      <c r="AE12" s="431">
        <f t="shared" si="4"/>
        <v>8666461</v>
      </c>
      <c r="AF12" s="428">
        <f t="shared" si="4"/>
        <v>2576284</v>
      </c>
      <c r="AG12" s="431">
        <f t="shared" si="4"/>
        <v>2522882</v>
      </c>
      <c r="AH12" s="428">
        <f t="shared" si="4"/>
        <v>1820266</v>
      </c>
      <c r="AI12" s="431">
        <f t="shared" ref="AI12:AU12" si="5">SUM(AI5:AI11)</f>
        <v>1260704</v>
      </c>
      <c r="AJ12" s="428">
        <f t="shared" si="5"/>
        <v>180771</v>
      </c>
      <c r="AK12" s="431">
        <f t="shared" si="5"/>
        <v>157358</v>
      </c>
      <c r="AL12" s="432">
        <f t="shared" si="5"/>
        <v>0</v>
      </c>
      <c r="AM12" s="488">
        <f t="shared" si="5"/>
        <v>0</v>
      </c>
      <c r="AN12" s="428">
        <f t="shared" si="5"/>
        <v>7445784</v>
      </c>
      <c r="AO12" s="431">
        <f t="shared" si="5"/>
        <v>6988750</v>
      </c>
      <c r="AP12" s="432">
        <f t="shared" si="5"/>
        <v>3073760</v>
      </c>
      <c r="AQ12" s="488">
        <f t="shared" si="5"/>
        <v>3821624</v>
      </c>
      <c r="AR12" s="428">
        <f t="shared" si="5"/>
        <v>4342280</v>
      </c>
      <c r="AS12" s="431">
        <f t="shared" si="5"/>
        <v>2978386</v>
      </c>
      <c r="AT12" s="432">
        <f t="shared" si="5"/>
        <v>693793</v>
      </c>
      <c r="AU12" s="430">
        <f t="shared" si="5"/>
        <v>345781</v>
      </c>
      <c r="AV12" s="428">
        <f t="shared" si="0"/>
        <v>95949748</v>
      </c>
      <c r="AW12" s="671">
        <f t="shared" si="1"/>
        <v>85156748</v>
      </c>
      <c r="AX12" s="436">
        <f>SUM(AX5:AX11)</f>
        <v>16722124</v>
      </c>
      <c r="AY12" s="437">
        <f>SUM(AY5:AY11)</f>
        <v>16455055</v>
      </c>
      <c r="AZ12" s="432">
        <f t="shared" si="2"/>
        <v>112671872</v>
      </c>
      <c r="BA12" s="432">
        <f t="shared" si="3"/>
        <v>101611803</v>
      </c>
    </row>
    <row r="13" spans="1:53" ht="15" thickBot="1" x14ac:dyDescent="0.35">
      <c r="A13" s="235" t="s">
        <v>11</v>
      </c>
      <c r="B13" s="496"/>
      <c r="C13" s="497"/>
      <c r="D13" s="498"/>
      <c r="E13" s="499"/>
      <c r="F13" s="540"/>
      <c r="G13" s="499"/>
      <c r="H13" s="540"/>
      <c r="I13" s="499"/>
      <c r="J13" s="543"/>
      <c r="K13" s="501"/>
      <c r="L13" s="540"/>
      <c r="M13" s="499"/>
      <c r="N13" s="540"/>
      <c r="O13" s="499"/>
      <c r="P13" s="540"/>
      <c r="Q13" s="499"/>
      <c r="R13" s="540"/>
      <c r="S13" s="500"/>
      <c r="T13" s="498"/>
      <c r="U13" s="502"/>
      <c r="V13" s="540"/>
      <c r="W13" s="500"/>
      <c r="X13" s="540"/>
      <c r="Y13" s="500"/>
      <c r="Z13" s="498"/>
      <c r="AA13" s="499"/>
      <c r="AB13" s="503"/>
      <c r="AC13" s="658"/>
      <c r="AD13" s="540"/>
      <c r="AE13" s="500"/>
      <c r="AF13" s="540"/>
      <c r="AG13" s="500"/>
      <c r="AH13" s="540"/>
      <c r="AI13" s="500"/>
      <c r="AJ13" s="540"/>
      <c r="AK13" s="500"/>
      <c r="AL13" s="504"/>
      <c r="AM13" s="542"/>
      <c r="AN13" s="662"/>
      <c r="AO13" s="505"/>
      <c r="AP13" s="506"/>
      <c r="AQ13" s="665"/>
      <c r="AR13" s="668"/>
      <c r="AS13" s="507">
        <v>0</v>
      </c>
      <c r="AT13" s="498"/>
      <c r="AU13" s="499"/>
      <c r="AV13" s="496">
        <f t="shared" si="0"/>
        <v>0</v>
      </c>
      <c r="AW13" s="672">
        <f t="shared" si="1"/>
        <v>0</v>
      </c>
      <c r="AX13" s="668"/>
      <c r="AY13" s="507"/>
      <c r="AZ13" s="508">
        <f t="shared" si="2"/>
        <v>0</v>
      </c>
      <c r="BA13" s="508">
        <f t="shared" si="3"/>
        <v>0</v>
      </c>
    </row>
    <row r="14" spans="1:53" s="283" customFormat="1" thickBot="1" x14ac:dyDescent="0.3">
      <c r="A14" s="465" t="s">
        <v>12</v>
      </c>
      <c r="B14" s="428">
        <f>B12+B13</f>
        <v>1411319</v>
      </c>
      <c r="C14" s="431">
        <f t="shared" ref="C14:AH14" si="6">C12+C13</f>
        <v>1032809</v>
      </c>
      <c r="D14" s="432">
        <f t="shared" si="6"/>
        <v>53326</v>
      </c>
      <c r="E14" s="430">
        <f t="shared" si="6"/>
        <v>89831</v>
      </c>
      <c r="F14" s="428">
        <f t="shared" si="6"/>
        <v>209075</v>
      </c>
      <c r="G14" s="430">
        <f t="shared" si="6"/>
        <v>380962</v>
      </c>
      <c r="H14" s="428">
        <f t="shared" si="6"/>
        <v>0</v>
      </c>
      <c r="I14" s="430">
        <f t="shared" si="6"/>
        <v>12702596</v>
      </c>
      <c r="J14" s="428">
        <f t="shared" si="6"/>
        <v>286959</v>
      </c>
      <c r="K14" s="430">
        <f t="shared" si="6"/>
        <v>1551631</v>
      </c>
      <c r="L14" s="428">
        <f t="shared" si="6"/>
        <v>3832962</v>
      </c>
      <c r="M14" s="430">
        <f t="shared" si="6"/>
        <v>4365159</v>
      </c>
      <c r="N14" s="428">
        <f t="shared" si="6"/>
        <v>771999</v>
      </c>
      <c r="O14" s="430">
        <f t="shared" si="6"/>
        <v>1891608</v>
      </c>
      <c r="P14" s="428">
        <f>P12+P13</f>
        <v>74095</v>
      </c>
      <c r="Q14" s="430">
        <f>Q12+Q13</f>
        <v>153855</v>
      </c>
      <c r="R14" s="428">
        <f t="shared" si="6"/>
        <v>676619</v>
      </c>
      <c r="S14" s="431">
        <f t="shared" si="6"/>
        <v>750442</v>
      </c>
      <c r="T14" s="432">
        <f t="shared" si="6"/>
        <v>68692</v>
      </c>
      <c r="U14" s="488">
        <f t="shared" si="6"/>
        <v>69794</v>
      </c>
      <c r="V14" s="428">
        <f t="shared" si="6"/>
        <v>34168813</v>
      </c>
      <c r="W14" s="431">
        <f t="shared" si="6"/>
        <v>20578233</v>
      </c>
      <c r="X14" s="428">
        <f t="shared" si="6"/>
        <v>20385375</v>
      </c>
      <c r="Y14" s="431">
        <f t="shared" si="6"/>
        <v>14677973</v>
      </c>
      <c r="Z14" s="432">
        <f t="shared" si="6"/>
        <v>20046</v>
      </c>
      <c r="AA14" s="430">
        <f t="shared" si="6"/>
        <v>16054</v>
      </c>
      <c r="AB14" s="428">
        <f t="shared" si="6"/>
        <v>4410685</v>
      </c>
      <c r="AC14" s="488">
        <f t="shared" si="6"/>
        <v>2613524</v>
      </c>
      <c r="AD14" s="428">
        <f t="shared" si="6"/>
        <v>13783435</v>
      </c>
      <c r="AE14" s="431">
        <f t="shared" si="6"/>
        <v>8666461</v>
      </c>
      <c r="AF14" s="428">
        <f t="shared" si="6"/>
        <v>2576284</v>
      </c>
      <c r="AG14" s="431">
        <f t="shared" si="6"/>
        <v>2522882</v>
      </c>
      <c r="AH14" s="428">
        <f t="shared" si="6"/>
        <v>1820266</v>
      </c>
      <c r="AI14" s="431">
        <f t="shared" ref="AI14:AU14" si="7">AI12+AI13</f>
        <v>1260704</v>
      </c>
      <c r="AJ14" s="428">
        <f t="shared" si="7"/>
        <v>180771</v>
      </c>
      <c r="AK14" s="431">
        <f t="shared" si="7"/>
        <v>157358</v>
      </c>
      <c r="AL14" s="432">
        <f t="shared" si="7"/>
        <v>0</v>
      </c>
      <c r="AM14" s="488">
        <f t="shared" si="7"/>
        <v>0</v>
      </c>
      <c r="AN14" s="428">
        <f t="shared" si="7"/>
        <v>7445784</v>
      </c>
      <c r="AO14" s="431">
        <f t="shared" si="7"/>
        <v>6988750</v>
      </c>
      <c r="AP14" s="432">
        <f t="shared" si="7"/>
        <v>3073760</v>
      </c>
      <c r="AQ14" s="488">
        <f t="shared" si="7"/>
        <v>3821624</v>
      </c>
      <c r="AR14" s="428">
        <f t="shared" si="7"/>
        <v>4342280</v>
      </c>
      <c r="AS14" s="431">
        <f t="shared" si="7"/>
        <v>2978386</v>
      </c>
      <c r="AT14" s="432">
        <f t="shared" si="7"/>
        <v>693793</v>
      </c>
      <c r="AU14" s="430">
        <f t="shared" si="7"/>
        <v>345781</v>
      </c>
      <c r="AV14" s="428">
        <f t="shared" si="0"/>
        <v>95949748</v>
      </c>
      <c r="AW14" s="671">
        <f t="shared" si="1"/>
        <v>85156748</v>
      </c>
      <c r="AX14" s="737">
        <f>AX12+AX13</f>
        <v>16722124</v>
      </c>
      <c r="AY14" s="738">
        <f>AY12+AY13</f>
        <v>16455055</v>
      </c>
      <c r="AZ14" s="432">
        <f t="shared" si="2"/>
        <v>112671872</v>
      </c>
      <c r="BA14" s="432">
        <f t="shared" si="3"/>
        <v>101611803</v>
      </c>
    </row>
  </sheetData>
  <mergeCells count="29">
    <mergeCell ref="J3:K3"/>
    <mergeCell ref="L3:M3"/>
    <mergeCell ref="N3:O3"/>
    <mergeCell ref="AB3:AC3"/>
    <mergeCell ref="AD3:AE3"/>
    <mergeCell ref="AF3:AG3"/>
    <mergeCell ref="V3:W3"/>
    <mergeCell ref="X3:Y3"/>
    <mergeCell ref="Z3:AA3"/>
    <mergeCell ref="A1:AZ1"/>
    <mergeCell ref="A2:AZ2"/>
    <mergeCell ref="A3:A4"/>
    <mergeCell ref="B3:C3"/>
    <mergeCell ref="D3:E3"/>
    <mergeCell ref="F3:G3"/>
    <mergeCell ref="H3:I3"/>
    <mergeCell ref="P3:Q3"/>
    <mergeCell ref="R3:S3"/>
    <mergeCell ref="T3:U3"/>
    <mergeCell ref="AH3:AI3"/>
    <mergeCell ref="AJ3:AK3"/>
    <mergeCell ref="AL3:AM3"/>
    <mergeCell ref="AZ3:BA3"/>
    <mergeCell ref="AN3:AO3"/>
    <mergeCell ref="AP3:AQ3"/>
    <mergeCell ref="AR3:AS3"/>
    <mergeCell ref="AT3:AU3"/>
    <mergeCell ref="AV3:AW3"/>
    <mergeCell ref="AX3:AY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BF21"/>
  <sheetViews>
    <sheetView workbookViewId="0">
      <pane xSplit="1" topLeftCell="B1" activePane="topRight" state="frozen"/>
      <selection pane="topRight" activeCell="AR7" sqref="AR7"/>
    </sheetView>
  </sheetViews>
  <sheetFormatPr defaultRowHeight="16.5" x14ac:dyDescent="0.3"/>
  <cols>
    <col min="1" max="1" width="23.140625" style="41" bestFit="1" customWidth="1"/>
    <col min="2" max="53" width="15" style="41" bestFit="1" customWidth="1"/>
    <col min="54" max="58" width="9.140625" style="529"/>
    <col min="59" max="16384" width="9.140625" style="41"/>
  </cols>
  <sheetData>
    <row r="1" spans="1:58" ht="17.25" x14ac:dyDescent="0.35">
      <c r="A1" s="1144" t="s">
        <v>206</v>
      </c>
      <c r="B1" s="1144"/>
      <c r="C1" s="1144"/>
      <c r="D1" s="1144"/>
      <c r="E1" s="1144"/>
      <c r="F1" s="1144"/>
      <c r="G1" s="1144"/>
      <c r="H1" s="1144"/>
      <c r="I1" s="1144"/>
      <c r="J1" s="1144"/>
      <c r="K1" s="1144"/>
      <c r="L1" s="1144"/>
      <c r="M1" s="1144"/>
      <c r="N1" s="1144"/>
      <c r="O1" s="1144"/>
      <c r="P1" s="1144"/>
      <c r="Q1" s="1144"/>
      <c r="R1" s="1144"/>
      <c r="S1" s="1144"/>
      <c r="T1" s="1144"/>
      <c r="U1" s="1144"/>
      <c r="V1" s="1144"/>
      <c r="W1" s="1144"/>
      <c r="X1" s="1144"/>
      <c r="Y1" s="1144"/>
      <c r="Z1" s="1144"/>
      <c r="AA1" s="1144"/>
      <c r="AB1" s="1144"/>
      <c r="AC1" s="1144"/>
      <c r="AD1" s="1144"/>
      <c r="AE1" s="1144"/>
      <c r="AF1" s="1144"/>
      <c r="AG1" s="1144"/>
      <c r="AH1" s="1144"/>
      <c r="AI1" s="1144"/>
      <c r="AJ1" s="1144"/>
      <c r="AK1" s="1144"/>
      <c r="AL1" s="1144"/>
      <c r="AM1" s="1144"/>
      <c r="AN1" s="1144"/>
      <c r="AO1" s="1144"/>
      <c r="AP1" s="1144"/>
      <c r="AQ1" s="1144"/>
      <c r="AR1" s="1144"/>
      <c r="AS1" s="1144"/>
      <c r="AT1" s="1144"/>
      <c r="AU1" s="1144"/>
      <c r="AV1" s="1144"/>
      <c r="AW1" s="1144"/>
      <c r="AX1" s="1144"/>
      <c r="AY1" s="1144"/>
      <c r="AZ1" s="1144"/>
    </row>
    <row r="2" spans="1:58" s="396" customFormat="1" ht="18" thickBot="1" x14ac:dyDescent="0.4">
      <c r="A2" s="1204" t="s">
        <v>112</v>
      </c>
      <c r="B2" s="1204"/>
      <c r="C2" s="1204"/>
      <c r="D2" s="1204"/>
      <c r="E2" s="1204"/>
      <c r="F2" s="1204"/>
      <c r="G2" s="1204"/>
      <c r="H2" s="1204"/>
      <c r="I2" s="1204"/>
      <c r="J2" s="1204"/>
      <c r="K2" s="1204"/>
      <c r="L2" s="1204"/>
      <c r="M2" s="1204"/>
      <c r="N2" s="1204"/>
      <c r="O2" s="1204"/>
      <c r="P2" s="1204"/>
      <c r="Q2" s="1204"/>
      <c r="R2" s="1204"/>
      <c r="S2" s="1204"/>
      <c r="T2" s="1204"/>
      <c r="U2" s="1204"/>
      <c r="V2" s="1204"/>
      <c r="W2" s="1204"/>
      <c r="X2" s="1204"/>
      <c r="Y2" s="1204"/>
      <c r="Z2" s="1204"/>
      <c r="AA2" s="1204"/>
      <c r="AB2" s="1204"/>
      <c r="AC2" s="1204"/>
      <c r="AD2" s="1204"/>
      <c r="AE2" s="1204"/>
      <c r="AF2" s="1204"/>
      <c r="AG2" s="1204"/>
      <c r="AH2" s="1204"/>
      <c r="AI2" s="1204"/>
      <c r="AJ2" s="1204"/>
      <c r="AK2" s="1204"/>
      <c r="AL2" s="1204"/>
      <c r="AM2" s="1204"/>
      <c r="AN2" s="1204"/>
      <c r="AO2" s="1204"/>
      <c r="AP2" s="1204"/>
      <c r="AQ2" s="1204"/>
      <c r="AR2" s="1204"/>
      <c r="AS2" s="1204"/>
      <c r="AT2" s="1204"/>
      <c r="AU2" s="1204"/>
      <c r="AV2" s="1204"/>
      <c r="AW2" s="1204"/>
      <c r="AX2" s="1204"/>
      <c r="AY2" s="1204"/>
      <c r="AZ2" s="1204"/>
      <c r="BB2" s="530"/>
      <c r="BC2" s="530"/>
      <c r="BD2" s="530"/>
      <c r="BE2" s="530"/>
      <c r="BF2" s="530"/>
    </row>
    <row r="3" spans="1:58" s="486" customFormat="1" ht="54.75" customHeight="1" thickBot="1" x14ac:dyDescent="0.35">
      <c r="A3" s="1205" t="s">
        <v>14</v>
      </c>
      <c r="B3" s="1207" t="s">
        <v>114</v>
      </c>
      <c r="C3" s="1208"/>
      <c r="D3" s="1207" t="s">
        <v>115</v>
      </c>
      <c r="E3" s="1208"/>
      <c r="F3" s="1207" t="s">
        <v>116</v>
      </c>
      <c r="G3" s="1208"/>
      <c r="H3" s="1207" t="s">
        <v>117</v>
      </c>
      <c r="I3" s="1209"/>
      <c r="J3" s="1207" t="s">
        <v>118</v>
      </c>
      <c r="K3" s="1208"/>
      <c r="L3" s="1201" t="s">
        <v>119</v>
      </c>
      <c r="M3" s="1202"/>
      <c r="N3" s="1201" t="s">
        <v>220</v>
      </c>
      <c r="O3" s="1202"/>
      <c r="P3" s="1201" t="s">
        <v>120</v>
      </c>
      <c r="Q3" s="1202"/>
      <c r="R3" s="1201" t="s">
        <v>121</v>
      </c>
      <c r="S3" s="1202"/>
      <c r="T3" s="1201" t="s">
        <v>122</v>
      </c>
      <c r="U3" s="1202"/>
      <c r="V3" s="1201" t="s">
        <v>123</v>
      </c>
      <c r="W3" s="1202"/>
      <c r="X3" s="1201" t="s">
        <v>124</v>
      </c>
      <c r="Y3" s="1202"/>
      <c r="Z3" s="1201" t="s">
        <v>226</v>
      </c>
      <c r="AA3" s="1203"/>
      <c r="AB3" s="1202" t="s">
        <v>125</v>
      </c>
      <c r="AC3" s="1202"/>
      <c r="AD3" s="1198" t="s">
        <v>126</v>
      </c>
      <c r="AE3" s="1199"/>
      <c r="AF3" s="1202" t="s">
        <v>127</v>
      </c>
      <c r="AG3" s="1202"/>
      <c r="AH3" s="1201" t="s">
        <v>128</v>
      </c>
      <c r="AI3" s="1202"/>
      <c r="AJ3" s="1202" t="s">
        <v>129</v>
      </c>
      <c r="AK3" s="1202"/>
      <c r="AL3" s="1198" t="s">
        <v>130</v>
      </c>
      <c r="AM3" s="1199"/>
      <c r="AN3" s="1201" t="s">
        <v>131</v>
      </c>
      <c r="AO3" s="1202"/>
      <c r="AP3" s="1201" t="s">
        <v>132</v>
      </c>
      <c r="AQ3" s="1203"/>
      <c r="AR3" s="1202" t="s">
        <v>133</v>
      </c>
      <c r="AS3" s="1202"/>
      <c r="AT3" s="1201" t="s">
        <v>134</v>
      </c>
      <c r="AU3" s="1203"/>
      <c r="AV3" s="1202" t="s">
        <v>1</v>
      </c>
      <c r="AW3" s="1202"/>
      <c r="AX3" s="1198" t="s">
        <v>135</v>
      </c>
      <c r="AY3" s="1200"/>
      <c r="AZ3" s="1198" t="s">
        <v>2</v>
      </c>
      <c r="BA3" s="1200"/>
      <c r="BB3" s="673"/>
      <c r="BC3" s="673"/>
      <c r="BD3" s="673"/>
      <c r="BE3" s="673"/>
      <c r="BF3" s="673"/>
    </row>
    <row r="4" spans="1:58" s="284" customFormat="1" ht="17.25" thickBot="1" x14ac:dyDescent="0.35">
      <c r="A4" s="1206"/>
      <c r="B4" s="344" t="s">
        <v>329</v>
      </c>
      <c r="C4" s="344" t="s">
        <v>223</v>
      </c>
      <c r="D4" s="343" t="s">
        <v>329</v>
      </c>
      <c r="E4" s="345" t="s">
        <v>223</v>
      </c>
      <c r="F4" s="344" t="s">
        <v>329</v>
      </c>
      <c r="G4" s="345" t="s">
        <v>223</v>
      </c>
      <c r="H4" s="344" t="s">
        <v>329</v>
      </c>
      <c r="I4" s="345" t="s">
        <v>223</v>
      </c>
      <c r="J4" s="344" t="s">
        <v>329</v>
      </c>
      <c r="K4" s="344" t="s">
        <v>223</v>
      </c>
      <c r="L4" s="343" t="s">
        <v>329</v>
      </c>
      <c r="M4" s="345" t="s">
        <v>223</v>
      </c>
      <c r="N4" s="344" t="s">
        <v>329</v>
      </c>
      <c r="O4" s="345" t="s">
        <v>223</v>
      </c>
      <c r="P4" s="344" t="s">
        <v>329</v>
      </c>
      <c r="Q4" s="345" t="s">
        <v>223</v>
      </c>
      <c r="R4" s="344" t="s">
        <v>329</v>
      </c>
      <c r="S4" s="345" t="s">
        <v>223</v>
      </c>
      <c r="T4" s="344" t="s">
        <v>329</v>
      </c>
      <c r="U4" s="345" t="s">
        <v>223</v>
      </c>
      <c r="V4" s="344" t="s">
        <v>329</v>
      </c>
      <c r="W4" s="345" t="s">
        <v>223</v>
      </c>
      <c r="X4" s="344" t="s">
        <v>329</v>
      </c>
      <c r="Y4" s="345" t="s">
        <v>223</v>
      </c>
      <c r="Z4" s="344" t="s">
        <v>329</v>
      </c>
      <c r="AA4" s="345" t="s">
        <v>223</v>
      </c>
      <c r="AB4" s="344" t="s">
        <v>329</v>
      </c>
      <c r="AC4" s="345" t="s">
        <v>223</v>
      </c>
      <c r="AD4" s="344" t="s">
        <v>329</v>
      </c>
      <c r="AE4" s="345" t="s">
        <v>223</v>
      </c>
      <c r="AF4" s="344" t="s">
        <v>329</v>
      </c>
      <c r="AG4" s="345" t="s">
        <v>223</v>
      </c>
      <c r="AH4" s="344" t="s">
        <v>329</v>
      </c>
      <c r="AI4" s="345" t="s">
        <v>223</v>
      </c>
      <c r="AJ4" s="344" t="s">
        <v>329</v>
      </c>
      <c r="AK4" s="345" t="s">
        <v>223</v>
      </c>
      <c r="AL4" s="344" t="s">
        <v>329</v>
      </c>
      <c r="AM4" s="345" t="s">
        <v>223</v>
      </c>
      <c r="AN4" s="344" t="s">
        <v>329</v>
      </c>
      <c r="AO4" s="345" t="s">
        <v>223</v>
      </c>
      <c r="AP4" s="343" t="s">
        <v>329</v>
      </c>
      <c r="AQ4" s="345" t="s">
        <v>223</v>
      </c>
      <c r="AR4" s="344" t="s">
        <v>329</v>
      </c>
      <c r="AS4" s="345" t="s">
        <v>223</v>
      </c>
      <c r="AT4" s="343" t="s">
        <v>329</v>
      </c>
      <c r="AU4" s="345" t="s">
        <v>223</v>
      </c>
      <c r="AV4" s="344" t="s">
        <v>329</v>
      </c>
      <c r="AW4" s="344" t="s">
        <v>223</v>
      </c>
      <c r="AX4" s="343" t="s">
        <v>329</v>
      </c>
      <c r="AY4" s="345" t="s">
        <v>223</v>
      </c>
      <c r="AZ4" s="343" t="s">
        <v>329</v>
      </c>
      <c r="BA4" s="345" t="s">
        <v>223</v>
      </c>
      <c r="BB4" s="337"/>
      <c r="BC4" s="337"/>
      <c r="BD4" s="337"/>
      <c r="BE4" s="337"/>
      <c r="BF4" s="531"/>
    </row>
    <row r="5" spans="1:58" ht="17.25" x14ac:dyDescent="0.35">
      <c r="A5" s="179" t="s">
        <v>3</v>
      </c>
      <c r="B5" s="243">
        <v>593.27</v>
      </c>
      <c r="C5" s="244">
        <v>523.65</v>
      </c>
      <c r="D5" s="245">
        <v>-0.03</v>
      </c>
      <c r="E5" s="246">
        <v>0.04</v>
      </c>
      <c r="F5" s="245">
        <v>28.97</v>
      </c>
      <c r="G5" s="247">
        <v>27.44</v>
      </c>
      <c r="H5" s="699"/>
      <c r="I5" s="700">
        <v>635</v>
      </c>
      <c r="J5" s="246">
        <v>219.17</v>
      </c>
      <c r="K5" s="246">
        <v>182.98</v>
      </c>
      <c r="L5" s="245">
        <v>3.34</v>
      </c>
      <c r="M5" s="246">
        <v>2.11</v>
      </c>
      <c r="N5" s="245">
        <v>34.75</v>
      </c>
      <c r="O5" s="246">
        <v>36.200000000000003</v>
      </c>
      <c r="P5" s="249">
        <v>47.65</v>
      </c>
      <c r="Q5" s="21">
        <v>120.94</v>
      </c>
      <c r="R5" s="249">
        <v>354.16</v>
      </c>
      <c r="S5" s="21">
        <v>256.52</v>
      </c>
      <c r="T5" s="249">
        <v>17.37</v>
      </c>
      <c r="U5" s="21">
        <v>18.45</v>
      </c>
      <c r="V5" s="249">
        <v>1011.8</v>
      </c>
      <c r="W5" s="21">
        <v>763.25</v>
      </c>
      <c r="X5" s="249">
        <v>1789.79</v>
      </c>
      <c r="Y5" s="21">
        <v>1179</v>
      </c>
      <c r="Z5" s="412">
        <v>22.1</v>
      </c>
      <c r="AA5" s="741">
        <v>19.04</v>
      </c>
      <c r="AB5" s="31">
        <v>30.39</v>
      </c>
      <c r="AC5" s="246">
        <v>13.28</v>
      </c>
      <c r="AD5" s="245">
        <v>299.89999999999998</v>
      </c>
      <c r="AE5" s="246">
        <v>315.43</v>
      </c>
      <c r="AF5" s="248">
        <v>1156.8800000000001</v>
      </c>
      <c r="AG5" s="246">
        <v>1086.01</v>
      </c>
      <c r="AH5" s="245">
        <v>49.89</v>
      </c>
      <c r="AI5" s="246">
        <v>40.659999999999997</v>
      </c>
      <c r="AJ5" s="248">
        <v>284.14</v>
      </c>
      <c r="AK5" s="246">
        <v>233.63</v>
      </c>
      <c r="AL5" s="414"/>
      <c r="AM5" s="246"/>
      <c r="AN5" s="544">
        <v>3067.85</v>
      </c>
      <c r="AO5" s="250">
        <v>2126</v>
      </c>
      <c r="AP5" s="251">
        <v>21.59</v>
      </c>
      <c r="AQ5" s="252">
        <v>20.5</v>
      </c>
      <c r="AR5" s="254">
        <v>0.08</v>
      </c>
      <c r="AS5" s="253">
        <v>-0.05</v>
      </c>
      <c r="AT5" s="245">
        <v>774.68</v>
      </c>
      <c r="AU5" s="246">
        <v>618.24</v>
      </c>
      <c r="AV5" s="255">
        <f t="shared" ref="AV5:AV20" si="0">SUM(B5+D5+F5+H5+J5+L5+N5+P5+R5+T5+V5+X5+Z5+AB5+AD5+AF5+AH5+AJ5+AL5+AN5+AP5+AR5+AT5)</f>
        <v>9807.7400000000016</v>
      </c>
      <c r="AW5" s="885">
        <f t="shared" ref="AW5:AW20" si="1">SUM(C5+E5+G5+I5+K5+M5+O5+Q5+S5+U5+W5+Y5+AA5+AC5+AE5+AG5+AI5+AK5+AM5+AO5+AQ5+AS5+AU5)</f>
        <v>8218.32</v>
      </c>
      <c r="AX5" s="254">
        <v>34574.85</v>
      </c>
      <c r="AY5" s="889">
        <v>37796.21</v>
      </c>
      <c r="AZ5" s="255">
        <f t="shared" ref="AZ5:AZ20" si="2">AV5+AX5</f>
        <v>44382.59</v>
      </c>
      <c r="BA5" s="256">
        <f t="shared" ref="BA5:BA20" si="3">AW5+AY5</f>
        <v>46014.53</v>
      </c>
    </row>
    <row r="6" spans="1:58" ht="17.25" x14ac:dyDescent="0.35">
      <c r="A6" s="71" t="s">
        <v>4</v>
      </c>
      <c r="B6" s="178">
        <v>928.23</v>
      </c>
      <c r="C6" s="244">
        <v>748</v>
      </c>
      <c r="D6" s="42"/>
      <c r="E6" s="246"/>
      <c r="F6" s="42">
        <v>36.53</v>
      </c>
      <c r="G6" s="247">
        <v>21.96</v>
      </c>
      <c r="H6" s="230"/>
      <c r="I6" s="700">
        <v>426</v>
      </c>
      <c r="J6" s="246">
        <v>32.24</v>
      </c>
      <c r="K6" s="246">
        <v>20.87</v>
      </c>
      <c r="L6" s="245">
        <v>1056.99</v>
      </c>
      <c r="M6" s="246">
        <v>814.46</v>
      </c>
      <c r="N6" s="42">
        <v>0.01</v>
      </c>
      <c r="O6" s="246">
        <v>1.53</v>
      </c>
      <c r="P6" s="1">
        <v>15.48</v>
      </c>
      <c r="Q6" s="21">
        <v>36.67</v>
      </c>
      <c r="R6" s="1">
        <v>27.11</v>
      </c>
      <c r="S6" s="21">
        <v>17.39</v>
      </c>
      <c r="T6" s="1">
        <v>26.79</v>
      </c>
      <c r="U6" s="21">
        <v>23.76</v>
      </c>
      <c r="V6" s="1">
        <v>3583.85</v>
      </c>
      <c r="W6" s="21">
        <v>3176.19</v>
      </c>
      <c r="X6" s="1">
        <v>2898.02</v>
      </c>
      <c r="Y6" s="21">
        <v>2121</v>
      </c>
      <c r="Z6" s="166">
        <v>361.2</v>
      </c>
      <c r="AA6" s="741">
        <v>280.11</v>
      </c>
      <c r="AB6" s="12">
        <v>843.36</v>
      </c>
      <c r="AC6" s="246">
        <v>496.73</v>
      </c>
      <c r="AD6" s="42">
        <v>1075.08</v>
      </c>
      <c r="AE6" s="246">
        <v>864.16</v>
      </c>
      <c r="AF6" s="46">
        <v>2985.59</v>
      </c>
      <c r="AG6" s="246">
        <v>2381.35</v>
      </c>
      <c r="AH6" s="42">
        <v>741.13</v>
      </c>
      <c r="AI6" s="246">
        <v>587.08000000000004</v>
      </c>
      <c r="AJ6" s="46">
        <v>9.94</v>
      </c>
      <c r="AK6" s="246">
        <v>6.67</v>
      </c>
      <c r="AL6" s="415"/>
      <c r="AM6" s="246"/>
      <c r="AN6" s="518">
        <v>7667.25</v>
      </c>
      <c r="AO6" s="250">
        <v>5482</v>
      </c>
      <c r="AP6" s="48">
        <v>1.85</v>
      </c>
      <c r="AQ6" s="252">
        <v>2.33</v>
      </c>
      <c r="AR6" s="52">
        <v>797.2</v>
      </c>
      <c r="AS6" s="253">
        <v>539.33000000000004</v>
      </c>
      <c r="AT6" s="42">
        <v>1799.53</v>
      </c>
      <c r="AU6" s="246">
        <v>1593.91</v>
      </c>
      <c r="AV6" s="255">
        <f t="shared" si="0"/>
        <v>24887.38</v>
      </c>
      <c r="AW6" s="885">
        <f t="shared" si="1"/>
        <v>19641.500000000004</v>
      </c>
      <c r="AX6" s="52">
        <v>839.41</v>
      </c>
      <c r="AY6" s="889">
        <v>1335.48</v>
      </c>
      <c r="AZ6" s="53">
        <f t="shared" si="2"/>
        <v>25726.79</v>
      </c>
      <c r="BA6" s="180">
        <f t="shared" si="3"/>
        <v>20976.980000000003</v>
      </c>
    </row>
    <row r="7" spans="1:58" ht="17.25" x14ac:dyDescent="0.35">
      <c r="A7" s="71" t="s">
        <v>5</v>
      </c>
      <c r="B7" s="178">
        <v>5.42</v>
      </c>
      <c r="C7" s="244">
        <v>7.73</v>
      </c>
      <c r="D7" s="42">
        <v>-0.19</v>
      </c>
      <c r="E7" s="246">
        <v>3.39</v>
      </c>
      <c r="F7" s="42">
        <v>5.26</v>
      </c>
      <c r="G7" s="247">
        <v>6.91</v>
      </c>
      <c r="H7" s="230"/>
      <c r="I7" s="700">
        <v>46</v>
      </c>
      <c r="J7" s="246">
        <v>98.62</v>
      </c>
      <c r="K7" s="246">
        <v>65.52</v>
      </c>
      <c r="L7" s="42">
        <v>0.24</v>
      </c>
      <c r="M7" s="43">
        <v>0.22</v>
      </c>
      <c r="N7" s="42">
        <v>10.76</v>
      </c>
      <c r="O7" s="246">
        <v>2.2999999999999998</v>
      </c>
      <c r="P7" s="1">
        <v>8.57</v>
      </c>
      <c r="Q7" s="21">
        <v>17.940000000000001</v>
      </c>
      <c r="R7" s="1">
        <v>5.39</v>
      </c>
      <c r="S7" s="21">
        <v>5.79</v>
      </c>
      <c r="T7" s="1">
        <v>11.29</v>
      </c>
      <c r="U7" s="21">
        <v>7.68</v>
      </c>
      <c r="V7" s="1">
        <v>330.54</v>
      </c>
      <c r="W7" s="21">
        <v>222.22</v>
      </c>
      <c r="X7" s="1">
        <v>255.69</v>
      </c>
      <c r="Y7" s="21">
        <v>191</v>
      </c>
      <c r="Z7" s="166"/>
      <c r="AA7" s="741"/>
      <c r="AB7" s="12">
        <v>16.54</v>
      </c>
      <c r="AC7" s="246">
        <v>18</v>
      </c>
      <c r="AD7" s="42">
        <v>9.36</v>
      </c>
      <c r="AE7" s="246">
        <v>6.06</v>
      </c>
      <c r="AF7" s="46">
        <v>70.77</v>
      </c>
      <c r="AG7" s="246">
        <v>68.819999999999993</v>
      </c>
      <c r="AH7" s="42">
        <v>22.52</v>
      </c>
      <c r="AI7" s="246">
        <v>9.2100000000000009</v>
      </c>
      <c r="AJ7" s="46">
        <v>27.84</v>
      </c>
      <c r="AK7" s="246">
        <v>26.65</v>
      </c>
      <c r="AL7" s="415"/>
      <c r="AM7" s="246"/>
      <c r="AN7" s="519">
        <v>301.08</v>
      </c>
      <c r="AO7" s="250">
        <v>207.05</v>
      </c>
      <c r="AP7" s="48">
        <v>195.27</v>
      </c>
      <c r="AQ7" s="252">
        <v>172.77</v>
      </c>
      <c r="AR7" s="52"/>
      <c r="AS7" s="253"/>
      <c r="AT7" s="42">
        <v>48.34</v>
      </c>
      <c r="AU7" s="246">
        <v>39.58</v>
      </c>
      <c r="AV7" s="255">
        <f t="shared" si="0"/>
        <v>1423.3099999999997</v>
      </c>
      <c r="AW7" s="885">
        <f t="shared" si="1"/>
        <v>1124.8399999999999</v>
      </c>
      <c r="AX7" s="52">
        <v>32.07</v>
      </c>
      <c r="AY7" s="889">
        <v>48.65</v>
      </c>
      <c r="AZ7" s="53">
        <f t="shared" si="2"/>
        <v>1455.3799999999997</v>
      </c>
      <c r="BA7" s="180">
        <f t="shared" si="3"/>
        <v>1173.49</v>
      </c>
    </row>
    <row r="8" spans="1:58" ht="17.25" x14ac:dyDescent="0.35">
      <c r="A8" s="71" t="s">
        <v>6</v>
      </c>
      <c r="B8" s="178">
        <v>13.66</v>
      </c>
      <c r="C8" s="244">
        <v>5.54</v>
      </c>
      <c r="D8" s="42">
        <v>2.44</v>
      </c>
      <c r="E8" s="246">
        <v>3.66</v>
      </c>
      <c r="F8" s="42">
        <v>1.45</v>
      </c>
      <c r="G8" s="247">
        <v>3.2</v>
      </c>
      <c r="H8" s="230"/>
      <c r="I8" s="700">
        <v>47</v>
      </c>
      <c r="J8" s="246">
        <v>82.5</v>
      </c>
      <c r="K8" s="246">
        <v>75.77</v>
      </c>
      <c r="L8" s="42">
        <v>7.15</v>
      </c>
      <c r="M8" s="43">
        <v>2.54</v>
      </c>
      <c r="N8" s="42">
        <v>-0.01</v>
      </c>
      <c r="O8" s="246">
        <v>-0.08</v>
      </c>
      <c r="P8" s="1">
        <v>7.6</v>
      </c>
      <c r="Q8" s="21">
        <v>18.670000000000002</v>
      </c>
      <c r="R8" s="1">
        <v>103.79</v>
      </c>
      <c r="S8" s="21">
        <v>75.52</v>
      </c>
      <c r="T8" s="1">
        <v>5.55</v>
      </c>
      <c r="U8" s="21">
        <v>4.3899999999999997</v>
      </c>
      <c r="V8" s="1">
        <v>363.96</v>
      </c>
      <c r="W8" s="21">
        <v>303.92</v>
      </c>
      <c r="X8" s="1">
        <v>228.2</v>
      </c>
      <c r="Y8" s="21">
        <v>149</v>
      </c>
      <c r="Z8" s="166">
        <v>30.88</v>
      </c>
      <c r="AA8" s="741">
        <v>11.7</v>
      </c>
      <c r="AB8" s="12">
        <v>18.489999999999998</v>
      </c>
      <c r="AC8" s="246">
        <v>2.89</v>
      </c>
      <c r="AD8" s="42">
        <v>41.74</v>
      </c>
      <c r="AE8" s="246">
        <v>32.43</v>
      </c>
      <c r="AF8" s="46">
        <v>40.47</v>
      </c>
      <c r="AG8" s="246">
        <v>7.81</v>
      </c>
      <c r="AH8" s="42">
        <v>27.65</v>
      </c>
      <c r="AI8" s="246">
        <v>31.12</v>
      </c>
      <c r="AJ8" s="46">
        <v>14.06</v>
      </c>
      <c r="AK8" s="246">
        <v>21.33</v>
      </c>
      <c r="AL8" s="415"/>
      <c r="AM8" s="246"/>
      <c r="AN8" s="519">
        <v>1.4</v>
      </c>
      <c r="AO8" s="250">
        <v>1.1299999999999999</v>
      </c>
      <c r="AP8" s="48">
        <v>29.74</v>
      </c>
      <c r="AQ8" s="252">
        <v>31.55</v>
      </c>
      <c r="AR8" s="52">
        <v>0.02</v>
      </c>
      <c r="AS8" s="253">
        <v>-0.02</v>
      </c>
      <c r="AT8" s="42">
        <v>294.3</v>
      </c>
      <c r="AU8" s="246">
        <v>145.41</v>
      </c>
      <c r="AV8" s="255">
        <f t="shared" si="0"/>
        <v>1315.04</v>
      </c>
      <c r="AW8" s="885">
        <f t="shared" si="1"/>
        <v>974.47999999999979</v>
      </c>
      <c r="AX8" s="52">
        <v>16.87</v>
      </c>
      <c r="AY8" s="889">
        <v>29.85</v>
      </c>
      <c r="AZ8" s="53">
        <f t="shared" si="2"/>
        <v>1331.9099999999999</v>
      </c>
      <c r="BA8" s="180">
        <f t="shared" si="3"/>
        <v>1004.3299999999998</v>
      </c>
    </row>
    <row r="9" spans="1:58" ht="17.25" x14ac:dyDescent="0.35">
      <c r="A9" s="71" t="s">
        <v>7</v>
      </c>
      <c r="B9" s="61"/>
      <c r="C9" s="244"/>
      <c r="D9" s="53"/>
      <c r="E9" s="246"/>
      <c r="F9" s="53"/>
      <c r="G9" s="247"/>
      <c r="H9" s="54"/>
      <c r="I9" s="700"/>
      <c r="J9" s="246"/>
      <c r="K9" s="246"/>
      <c r="L9" s="53"/>
      <c r="M9" s="43"/>
      <c r="N9" s="53"/>
      <c r="O9" s="246"/>
      <c r="P9" s="3"/>
      <c r="Q9" s="21"/>
      <c r="R9" s="3"/>
      <c r="S9" s="21"/>
      <c r="T9" s="3"/>
      <c r="U9" s="21"/>
      <c r="V9" s="3"/>
      <c r="W9" s="21"/>
      <c r="X9" s="3"/>
      <c r="Y9" s="21"/>
      <c r="Z9" s="166"/>
      <c r="AA9" s="741"/>
      <c r="AB9" s="18"/>
      <c r="AC9" s="246"/>
      <c r="AD9" s="413">
        <v>7.0000000000000007E-2</v>
      </c>
      <c r="AE9" s="246">
        <v>0.02</v>
      </c>
      <c r="AF9" s="51"/>
      <c r="AG9" s="246"/>
      <c r="AH9" s="53"/>
      <c r="AI9" s="246"/>
      <c r="AJ9" s="51"/>
      <c r="AK9" s="246"/>
      <c r="AL9" s="415"/>
      <c r="AM9" s="246"/>
      <c r="AN9" s="520"/>
      <c r="AO9" s="250"/>
      <c r="AP9" s="48"/>
      <c r="AQ9" s="252"/>
      <c r="AR9" s="52"/>
      <c r="AS9" s="253"/>
      <c r="AT9" s="53">
        <v>0.49</v>
      </c>
      <c r="AU9" s="246">
        <v>0.6</v>
      </c>
      <c r="AV9" s="255">
        <f t="shared" si="0"/>
        <v>0.56000000000000005</v>
      </c>
      <c r="AW9" s="885">
        <f t="shared" si="1"/>
        <v>0.62</v>
      </c>
      <c r="AX9" s="53">
        <v>184.73</v>
      </c>
      <c r="AY9" s="889">
        <v>231.84</v>
      </c>
      <c r="AZ9" s="53">
        <f t="shared" si="2"/>
        <v>185.29</v>
      </c>
      <c r="BA9" s="180">
        <f t="shared" si="3"/>
        <v>232.46</v>
      </c>
    </row>
    <row r="10" spans="1:58" ht="17.25" x14ac:dyDescent="0.35">
      <c r="A10" s="71" t="s">
        <v>15</v>
      </c>
      <c r="B10" s="178"/>
      <c r="C10" s="244"/>
      <c r="D10" s="42"/>
      <c r="E10" s="246"/>
      <c r="F10" s="42"/>
      <c r="G10" s="247"/>
      <c r="H10" s="230"/>
      <c r="I10" s="700"/>
      <c r="J10" s="246"/>
      <c r="K10" s="246"/>
      <c r="L10" s="42"/>
      <c r="M10" s="43"/>
      <c r="N10" s="42"/>
      <c r="O10" s="246"/>
      <c r="P10" s="1"/>
      <c r="Q10" s="21"/>
      <c r="R10" s="1"/>
      <c r="S10" s="21"/>
      <c r="T10" s="1"/>
      <c r="U10" s="21"/>
      <c r="V10" s="1"/>
      <c r="W10" s="21"/>
      <c r="X10" s="1"/>
      <c r="Y10" s="21"/>
      <c r="Z10" s="1"/>
      <c r="AA10" s="741"/>
      <c r="AB10" s="12">
        <v>4.63</v>
      </c>
      <c r="AC10" s="246">
        <v>3.4</v>
      </c>
      <c r="AD10" s="42"/>
      <c r="AE10" s="246"/>
      <c r="AF10" s="46"/>
      <c r="AG10" s="246"/>
      <c r="AH10" s="42"/>
      <c r="AI10" s="246"/>
      <c r="AJ10" s="46"/>
      <c r="AK10" s="246"/>
      <c r="AL10" s="415"/>
      <c r="AM10" s="246"/>
      <c r="AN10" s="520">
        <v>0.18</v>
      </c>
      <c r="AO10" s="250">
        <v>0.21</v>
      </c>
      <c r="AP10" s="48"/>
      <c r="AQ10" s="252"/>
      <c r="AR10" s="52"/>
      <c r="AS10" s="253"/>
      <c r="AT10" s="42"/>
      <c r="AU10" s="246"/>
      <c r="AV10" s="255">
        <f t="shared" si="0"/>
        <v>4.8099999999999996</v>
      </c>
      <c r="AW10" s="885">
        <f t="shared" si="1"/>
        <v>3.61</v>
      </c>
      <c r="AX10" s="52">
        <v>0.62</v>
      </c>
      <c r="AY10" s="889"/>
      <c r="AZ10" s="53">
        <f t="shared" si="2"/>
        <v>5.43</v>
      </c>
      <c r="BA10" s="180">
        <f t="shared" si="3"/>
        <v>3.61</v>
      </c>
    </row>
    <row r="11" spans="1:58" ht="17.25" x14ac:dyDescent="0.35">
      <c r="A11" s="850" t="s">
        <v>8</v>
      </c>
      <c r="B11" s="178"/>
      <c r="C11" s="244"/>
      <c r="D11" s="42"/>
      <c r="E11" s="246"/>
      <c r="F11" s="42"/>
      <c r="G11" s="247"/>
      <c r="H11" s="230"/>
      <c r="I11" s="700">
        <v>181</v>
      </c>
      <c r="J11" s="246"/>
      <c r="K11" s="246"/>
      <c r="L11" s="42"/>
      <c r="M11" s="43"/>
      <c r="N11" s="42"/>
      <c r="O11" s="246"/>
      <c r="P11" s="1"/>
      <c r="Q11" s="21"/>
      <c r="R11" s="1"/>
      <c r="S11" s="21"/>
      <c r="T11" s="1"/>
      <c r="U11" s="21"/>
      <c r="V11" s="1"/>
      <c r="W11" s="21"/>
      <c r="X11" s="1"/>
      <c r="Y11" s="21"/>
      <c r="Z11" s="1"/>
      <c r="AA11" s="741"/>
      <c r="AB11" s="12"/>
      <c r="AC11" s="246"/>
      <c r="AD11" s="42"/>
      <c r="AE11" s="246"/>
      <c r="AF11" s="46"/>
      <c r="AG11" s="246"/>
      <c r="AH11" s="42"/>
      <c r="AI11" s="246"/>
      <c r="AJ11" s="46"/>
      <c r="AK11" s="246"/>
      <c r="AL11" s="415"/>
      <c r="AM11" s="246"/>
      <c r="AN11" s="519"/>
      <c r="AO11" s="250"/>
      <c r="AP11" s="48"/>
      <c r="AQ11" s="252"/>
      <c r="AR11" s="52"/>
      <c r="AS11" s="253"/>
      <c r="AT11" s="42"/>
      <c r="AU11" s="246"/>
      <c r="AV11" s="255">
        <f t="shared" si="0"/>
        <v>0</v>
      </c>
      <c r="AW11" s="885">
        <f t="shared" si="1"/>
        <v>181</v>
      </c>
      <c r="AX11" s="52"/>
      <c r="AY11" s="889"/>
      <c r="AZ11" s="53">
        <f t="shared" si="2"/>
        <v>0</v>
      </c>
      <c r="BA11" s="180">
        <f t="shared" si="3"/>
        <v>181</v>
      </c>
    </row>
    <row r="12" spans="1:58" ht="17.25" x14ac:dyDescent="0.35">
      <c r="A12" s="71" t="s">
        <v>330</v>
      </c>
      <c r="B12" s="178">
        <v>4.29</v>
      </c>
      <c r="C12" s="244">
        <v>2.48</v>
      </c>
      <c r="D12" s="42">
        <v>2.5099999999999998</v>
      </c>
      <c r="E12" s="246">
        <v>5.97</v>
      </c>
      <c r="F12" s="42">
        <v>0.73</v>
      </c>
      <c r="G12" s="247">
        <v>3.46</v>
      </c>
      <c r="H12" s="230"/>
      <c r="I12" s="700"/>
      <c r="J12" s="246">
        <v>25.97</v>
      </c>
      <c r="K12" s="246">
        <v>19.510000000000002</v>
      </c>
      <c r="L12" s="42">
        <v>6.97</v>
      </c>
      <c r="M12" s="43">
        <v>5.26</v>
      </c>
      <c r="N12" s="849"/>
      <c r="O12" s="246">
        <v>0.04</v>
      </c>
      <c r="P12" s="1">
        <v>7.45</v>
      </c>
      <c r="Q12" s="21">
        <v>22.09</v>
      </c>
      <c r="R12" s="1"/>
      <c r="S12" s="21"/>
      <c r="T12" s="1">
        <v>1.43</v>
      </c>
      <c r="U12" s="21"/>
      <c r="V12" s="1">
        <v>867.27</v>
      </c>
      <c r="W12" s="21">
        <v>698.98</v>
      </c>
      <c r="X12" s="1">
        <v>133.91</v>
      </c>
      <c r="Y12" s="21">
        <v>91.04</v>
      </c>
      <c r="Z12" s="1"/>
      <c r="AA12" s="741">
        <v>0.73</v>
      </c>
      <c r="AB12" s="12"/>
      <c r="AC12" s="246"/>
      <c r="AD12" s="42">
        <v>2.62</v>
      </c>
      <c r="AE12" s="246">
        <v>1.69</v>
      </c>
      <c r="AF12" s="46">
        <v>48.41</v>
      </c>
      <c r="AG12" s="246">
        <v>41.7</v>
      </c>
      <c r="AH12" s="42">
        <v>1.75</v>
      </c>
      <c r="AI12" s="246">
        <v>3.75</v>
      </c>
      <c r="AJ12" s="46">
        <v>0.15</v>
      </c>
      <c r="AK12" s="246">
        <v>0.5</v>
      </c>
      <c r="AL12" s="415"/>
      <c r="AM12" s="246"/>
      <c r="AN12" s="519">
        <v>16.29</v>
      </c>
      <c r="AO12" s="250">
        <v>8.6300000000000008</v>
      </c>
      <c r="AP12" s="48">
        <v>2.71</v>
      </c>
      <c r="AQ12" s="252">
        <v>3.08</v>
      </c>
      <c r="AR12" s="52"/>
      <c r="AS12" s="253"/>
      <c r="AT12" s="42">
        <v>23</v>
      </c>
      <c r="AU12" s="246">
        <v>0.25</v>
      </c>
      <c r="AV12" s="255"/>
      <c r="AW12" s="885"/>
      <c r="AX12" s="52">
        <v>145.44999999999999</v>
      </c>
      <c r="AY12" s="889">
        <v>527.91999999999996</v>
      </c>
      <c r="AZ12" s="53"/>
      <c r="BA12" s="180"/>
    </row>
    <row r="13" spans="1:58" ht="17.25" x14ac:dyDescent="0.35">
      <c r="A13" s="71" t="s">
        <v>331</v>
      </c>
      <c r="B13" s="178">
        <v>68.260000000000005</v>
      </c>
      <c r="C13" s="244">
        <v>45.52</v>
      </c>
      <c r="D13" s="42">
        <v>0.59</v>
      </c>
      <c r="E13" s="246">
        <v>13.79</v>
      </c>
      <c r="F13" s="42">
        <v>41.22</v>
      </c>
      <c r="G13" s="247">
        <v>23.4</v>
      </c>
      <c r="H13" s="230"/>
      <c r="I13" s="700"/>
      <c r="J13" s="246">
        <v>42.21</v>
      </c>
      <c r="K13" s="246">
        <v>51.02</v>
      </c>
      <c r="L13" s="42">
        <v>13.53</v>
      </c>
      <c r="M13" s="43">
        <v>11.68</v>
      </c>
      <c r="N13" s="849">
        <v>41.32</v>
      </c>
      <c r="O13" s="246">
        <v>46.08</v>
      </c>
      <c r="P13" s="1">
        <v>10.11</v>
      </c>
      <c r="Q13" s="21">
        <v>31.12</v>
      </c>
      <c r="R13" s="1">
        <v>60.67</v>
      </c>
      <c r="S13" s="21">
        <v>32.94</v>
      </c>
      <c r="T13" s="1">
        <v>112.74</v>
      </c>
      <c r="U13" s="21">
        <v>133.1</v>
      </c>
      <c r="V13" s="1">
        <v>1883.29</v>
      </c>
      <c r="W13" s="21">
        <v>1575.78</v>
      </c>
      <c r="X13" s="1">
        <v>1021.15</v>
      </c>
      <c r="Y13" s="21">
        <v>823.76</v>
      </c>
      <c r="Z13" s="1">
        <v>22.4</v>
      </c>
      <c r="AA13" s="741">
        <v>13.44</v>
      </c>
      <c r="AB13" s="12">
        <v>39.78</v>
      </c>
      <c r="AC13" s="246">
        <v>17.440000000000001</v>
      </c>
      <c r="AD13" s="42">
        <v>440.59</v>
      </c>
      <c r="AE13" s="246">
        <v>362.46</v>
      </c>
      <c r="AF13" s="46">
        <v>344.3</v>
      </c>
      <c r="AG13" s="246">
        <v>240.91</v>
      </c>
      <c r="AH13" s="42">
        <v>265.20999999999998</v>
      </c>
      <c r="AI13" s="246">
        <v>240.86</v>
      </c>
      <c r="AJ13" s="46">
        <v>331.66</v>
      </c>
      <c r="AK13" s="246">
        <v>331.4</v>
      </c>
      <c r="AL13" s="415"/>
      <c r="AM13" s="246"/>
      <c r="AN13" s="519">
        <v>555.11</v>
      </c>
      <c r="AO13" s="250">
        <v>299.35000000000002</v>
      </c>
      <c r="AP13" s="48">
        <v>123.07</v>
      </c>
      <c r="AQ13" s="252">
        <v>120.75</v>
      </c>
      <c r="AR13" s="52">
        <v>2.2000000000000002</v>
      </c>
      <c r="AS13" s="253">
        <v>12.58</v>
      </c>
      <c r="AT13" s="42">
        <v>110.25</v>
      </c>
      <c r="AU13" s="246">
        <v>88.64</v>
      </c>
      <c r="AV13" s="255"/>
      <c r="AW13" s="885"/>
      <c r="AX13" s="52"/>
      <c r="AY13" s="889">
        <v>511.04</v>
      </c>
      <c r="AZ13" s="53"/>
      <c r="BA13" s="180"/>
    </row>
    <row r="14" spans="1:58" ht="17.25" x14ac:dyDescent="0.35">
      <c r="A14" s="71" t="s">
        <v>16</v>
      </c>
      <c r="B14" s="178">
        <v>0.8</v>
      </c>
      <c r="C14" s="244">
        <v>3.09</v>
      </c>
      <c r="D14" s="42"/>
      <c r="E14" s="246"/>
      <c r="F14" s="42"/>
      <c r="G14" s="44"/>
      <c r="H14" s="230"/>
      <c r="I14" s="700">
        <v>28</v>
      </c>
      <c r="J14" s="43">
        <v>0.04</v>
      </c>
      <c r="K14" s="43">
        <v>0.6</v>
      </c>
      <c r="L14" s="42">
        <v>8.08</v>
      </c>
      <c r="M14" s="43">
        <v>15.36</v>
      </c>
      <c r="N14" s="242"/>
      <c r="O14" s="43"/>
      <c r="P14" s="1"/>
      <c r="Q14" s="45"/>
      <c r="R14" s="1">
        <v>5.59</v>
      </c>
      <c r="S14" s="21">
        <v>11.51</v>
      </c>
      <c r="T14" s="1"/>
      <c r="U14" s="2">
        <v>0.1</v>
      </c>
      <c r="V14" s="1"/>
      <c r="W14" s="21"/>
      <c r="X14" s="1"/>
      <c r="Y14" s="21"/>
      <c r="Z14" s="1">
        <v>0.26</v>
      </c>
      <c r="AA14" s="742">
        <v>0.69</v>
      </c>
      <c r="AB14" s="12"/>
      <c r="AC14" s="43"/>
      <c r="AD14" s="42">
        <v>1.9</v>
      </c>
      <c r="AE14" s="246">
        <v>0.19</v>
      </c>
      <c r="AF14" s="46"/>
      <c r="AG14" s="246"/>
      <c r="AH14" s="42"/>
      <c r="AI14" s="246"/>
      <c r="AJ14" s="46"/>
      <c r="AK14" s="246"/>
      <c r="AL14" s="415"/>
      <c r="AM14" s="246"/>
      <c r="AN14" s="519"/>
      <c r="AO14" s="47"/>
      <c r="AP14" s="48"/>
      <c r="AQ14" s="49"/>
      <c r="AR14" s="52"/>
      <c r="AS14" s="50"/>
      <c r="AT14" s="42"/>
      <c r="AU14" s="43"/>
      <c r="AV14" s="255">
        <f t="shared" si="0"/>
        <v>16.669999999999998</v>
      </c>
      <c r="AW14" s="885">
        <f t="shared" si="1"/>
        <v>59.539999999999992</v>
      </c>
      <c r="AX14" s="52">
        <v>3.19</v>
      </c>
      <c r="AY14" s="889"/>
      <c r="AZ14" s="53">
        <f t="shared" si="2"/>
        <v>19.86</v>
      </c>
      <c r="BA14" s="180">
        <f t="shared" si="3"/>
        <v>59.539999999999992</v>
      </c>
    </row>
    <row r="15" spans="1:58" ht="17.25" x14ac:dyDescent="0.35">
      <c r="A15" s="71" t="s">
        <v>17</v>
      </c>
      <c r="B15" s="178"/>
      <c r="C15" s="244"/>
      <c r="D15" s="42"/>
      <c r="E15" s="246">
        <v>0.03</v>
      </c>
      <c r="F15" s="42">
        <v>5.97</v>
      </c>
      <c r="G15" s="44">
        <v>2.77</v>
      </c>
      <c r="H15" s="230"/>
      <c r="I15" s="700"/>
      <c r="J15" s="43"/>
      <c r="K15" s="43"/>
      <c r="L15" s="42"/>
      <c r="M15" s="43"/>
      <c r="N15" s="42"/>
      <c r="O15" s="43"/>
      <c r="P15" s="1"/>
      <c r="Q15" s="45"/>
      <c r="R15" s="1"/>
      <c r="S15" s="21"/>
      <c r="T15" s="1">
        <v>5.37</v>
      </c>
      <c r="U15" s="2"/>
      <c r="V15" s="1">
        <v>2.79</v>
      </c>
      <c r="W15" s="21">
        <v>2.41</v>
      </c>
      <c r="X15" s="1">
        <v>30.72</v>
      </c>
      <c r="Y15" s="21">
        <v>27</v>
      </c>
      <c r="Z15" s="1"/>
      <c r="AA15" s="742"/>
      <c r="AB15" s="12"/>
      <c r="AC15" s="43"/>
      <c r="AD15" s="42"/>
      <c r="AE15" s="43"/>
      <c r="AF15" s="46">
        <v>24.35</v>
      </c>
      <c r="AG15" s="43">
        <v>37.200000000000003</v>
      </c>
      <c r="AH15" s="42">
        <v>17.88</v>
      </c>
      <c r="AI15" s="246">
        <v>7</v>
      </c>
      <c r="AJ15" s="46"/>
      <c r="AK15" s="246"/>
      <c r="AL15" s="415"/>
      <c r="AM15" s="246"/>
      <c r="AN15" s="519">
        <v>7.0000000000000007E-2</v>
      </c>
      <c r="AO15" s="47">
        <v>0.21</v>
      </c>
      <c r="AP15" s="48"/>
      <c r="AQ15" s="49"/>
      <c r="AR15" s="52"/>
      <c r="AS15" s="50"/>
      <c r="AT15" s="42"/>
      <c r="AU15" s="43"/>
      <c r="AV15" s="255">
        <f t="shared" si="0"/>
        <v>87.149999999999977</v>
      </c>
      <c r="AW15" s="885">
        <f t="shared" si="1"/>
        <v>76.61999999999999</v>
      </c>
      <c r="AX15" s="52">
        <v>28.64</v>
      </c>
      <c r="AY15" s="889">
        <v>20.8</v>
      </c>
      <c r="AZ15" s="53">
        <f t="shared" si="2"/>
        <v>115.78999999999998</v>
      </c>
      <c r="BA15" s="180">
        <f t="shared" si="3"/>
        <v>97.419999999999987</v>
      </c>
    </row>
    <row r="16" spans="1:58" ht="17.25" x14ac:dyDescent="0.35">
      <c r="A16" s="71" t="s">
        <v>137</v>
      </c>
      <c r="B16" s="178"/>
      <c r="C16" s="244"/>
      <c r="D16" s="42"/>
      <c r="E16" s="246"/>
      <c r="F16" s="42"/>
      <c r="G16" s="44"/>
      <c r="H16" s="230"/>
      <c r="I16" s="700">
        <v>26</v>
      </c>
      <c r="J16" s="43"/>
      <c r="K16" s="43"/>
      <c r="L16" s="42"/>
      <c r="M16" s="43"/>
      <c r="N16" s="42"/>
      <c r="O16" s="43"/>
      <c r="P16" s="1"/>
      <c r="Q16" s="45"/>
      <c r="R16" s="1"/>
      <c r="S16" s="2"/>
      <c r="T16" s="1"/>
      <c r="U16" s="2"/>
      <c r="V16" s="1"/>
      <c r="W16" s="21"/>
      <c r="X16" s="1"/>
      <c r="Y16" s="21"/>
      <c r="Z16" s="1"/>
      <c r="AA16" s="742"/>
      <c r="AB16" s="12"/>
      <c r="AC16" s="43"/>
      <c r="AD16" s="42"/>
      <c r="AE16" s="43"/>
      <c r="AF16" s="46"/>
      <c r="AG16" s="43"/>
      <c r="AH16" s="42"/>
      <c r="AI16" s="246"/>
      <c r="AJ16" s="46"/>
      <c r="AK16" s="246"/>
      <c r="AL16" s="415"/>
      <c r="AM16" s="246"/>
      <c r="AN16" s="519"/>
      <c r="AO16" s="47"/>
      <c r="AP16" s="48"/>
      <c r="AQ16" s="49"/>
      <c r="AR16" s="52"/>
      <c r="AS16" s="50"/>
      <c r="AT16" s="42"/>
      <c r="AU16" s="43"/>
      <c r="AV16" s="255">
        <f t="shared" si="0"/>
        <v>0</v>
      </c>
      <c r="AW16" s="885">
        <f t="shared" si="1"/>
        <v>26</v>
      </c>
      <c r="AX16" s="52"/>
      <c r="AY16" s="890"/>
      <c r="AZ16" s="53">
        <f t="shared" si="2"/>
        <v>0</v>
      </c>
      <c r="BA16" s="180">
        <f t="shared" si="3"/>
        <v>26</v>
      </c>
    </row>
    <row r="17" spans="1:58" ht="18" thickBot="1" x14ac:dyDescent="0.4">
      <c r="A17" s="181" t="s">
        <v>19</v>
      </c>
      <c r="B17" s="202">
        <v>2.37</v>
      </c>
      <c r="C17" s="244">
        <v>0.94</v>
      </c>
      <c r="D17" s="182">
        <v>4.1500000000000004</v>
      </c>
      <c r="E17" s="246">
        <v>3.63</v>
      </c>
      <c r="F17" s="182"/>
      <c r="G17" s="184">
        <v>0.01</v>
      </c>
      <c r="H17" s="701"/>
      <c r="I17" s="700">
        <v>120</v>
      </c>
      <c r="J17" s="183">
        <v>0.13</v>
      </c>
      <c r="K17" s="183">
        <v>0.97</v>
      </c>
      <c r="L17" s="182">
        <v>3.21</v>
      </c>
      <c r="M17" s="183">
        <v>5.36</v>
      </c>
      <c r="N17" s="182"/>
      <c r="O17" s="183"/>
      <c r="P17" s="203">
        <v>0.93</v>
      </c>
      <c r="Q17" s="204">
        <v>3.46</v>
      </c>
      <c r="R17" s="203"/>
      <c r="S17" s="206"/>
      <c r="T17" s="203"/>
      <c r="U17" s="206"/>
      <c r="V17" s="203">
        <v>16.37</v>
      </c>
      <c r="W17" s="21">
        <v>47.46</v>
      </c>
      <c r="X17" s="203">
        <v>22.99</v>
      </c>
      <c r="Y17" s="21">
        <v>42</v>
      </c>
      <c r="Z17" s="203"/>
      <c r="AA17" s="743"/>
      <c r="AB17" s="205"/>
      <c r="AC17" s="183"/>
      <c r="AD17" s="182">
        <v>1.4</v>
      </c>
      <c r="AE17" s="183">
        <v>1.05</v>
      </c>
      <c r="AF17" s="185">
        <v>49.96</v>
      </c>
      <c r="AG17" s="183">
        <v>53.5</v>
      </c>
      <c r="AH17" s="182">
        <v>15.08</v>
      </c>
      <c r="AI17" s="246">
        <v>12.62</v>
      </c>
      <c r="AJ17" s="185"/>
      <c r="AK17" s="246">
        <v>0.14000000000000001</v>
      </c>
      <c r="AL17" s="416"/>
      <c r="AM17" s="246"/>
      <c r="AN17" s="545">
        <v>1.98</v>
      </c>
      <c r="AO17" s="207">
        <v>3.53</v>
      </c>
      <c r="AP17" s="186">
        <v>-0.01</v>
      </c>
      <c r="AQ17" s="187">
        <v>0.42</v>
      </c>
      <c r="AR17" s="189"/>
      <c r="AS17" s="188"/>
      <c r="AT17" s="182">
        <v>73.66</v>
      </c>
      <c r="AU17" s="183">
        <v>62.43</v>
      </c>
      <c r="AV17" s="255">
        <f t="shared" si="0"/>
        <v>192.21999999999997</v>
      </c>
      <c r="AW17" s="885">
        <f t="shared" si="1"/>
        <v>357.52</v>
      </c>
      <c r="AX17" s="189"/>
      <c r="AY17" s="891"/>
      <c r="AZ17" s="190">
        <f t="shared" si="2"/>
        <v>192.21999999999997</v>
      </c>
      <c r="BA17" s="191">
        <f t="shared" si="3"/>
        <v>357.52</v>
      </c>
    </row>
    <row r="18" spans="1:58" s="293" customFormat="1" ht="18.75" thickBot="1" x14ac:dyDescent="0.4">
      <c r="A18" s="285" t="s">
        <v>20</v>
      </c>
      <c r="B18" s="286">
        <f>SUM(B5:B17)</f>
        <v>1616.3</v>
      </c>
      <c r="C18" s="286">
        <f t="shared" ref="C18:AH18" si="4">SUM(C5:C17)</f>
        <v>1336.95</v>
      </c>
      <c r="D18" s="288">
        <f t="shared" si="4"/>
        <v>9.4699999999999989</v>
      </c>
      <c r="E18" s="286">
        <f t="shared" si="4"/>
        <v>30.509999999999998</v>
      </c>
      <c r="F18" s="288">
        <f t="shared" si="4"/>
        <v>120.13000000000001</v>
      </c>
      <c r="G18" s="287">
        <f t="shared" si="4"/>
        <v>89.15</v>
      </c>
      <c r="H18" s="288">
        <f t="shared" si="4"/>
        <v>0</v>
      </c>
      <c r="I18" s="289">
        <f t="shared" si="4"/>
        <v>1509</v>
      </c>
      <c r="J18" s="288">
        <f t="shared" si="4"/>
        <v>500.88</v>
      </c>
      <c r="K18" s="286">
        <f t="shared" si="4"/>
        <v>417.24</v>
      </c>
      <c r="L18" s="288">
        <f t="shared" si="4"/>
        <v>1099.51</v>
      </c>
      <c r="M18" s="286">
        <f t="shared" si="4"/>
        <v>856.99</v>
      </c>
      <c r="N18" s="288">
        <f t="shared" si="4"/>
        <v>86.83</v>
      </c>
      <c r="O18" s="286">
        <f t="shared" si="4"/>
        <v>86.07</v>
      </c>
      <c r="P18" s="288">
        <f t="shared" si="4"/>
        <v>97.789999999999992</v>
      </c>
      <c r="Q18" s="286">
        <f t="shared" si="4"/>
        <v>250.89000000000004</v>
      </c>
      <c r="R18" s="288">
        <f t="shared" si="4"/>
        <v>556.71</v>
      </c>
      <c r="S18" s="286">
        <f t="shared" si="4"/>
        <v>399.66999999999996</v>
      </c>
      <c r="T18" s="288">
        <f t="shared" si="4"/>
        <v>180.54</v>
      </c>
      <c r="U18" s="286">
        <f t="shared" si="4"/>
        <v>187.48</v>
      </c>
      <c r="V18" s="288">
        <f t="shared" si="4"/>
        <v>8059.87</v>
      </c>
      <c r="W18" s="286">
        <f t="shared" si="4"/>
        <v>6790.2099999999991</v>
      </c>
      <c r="X18" s="288">
        <f t="shared" si="4"/>
        <v>6380.4699999999984</v>
      </c>
      <c r="Y18" s="286">
        <f t="shared" si="4"/>
        <v>4623.8</v>
      </c>
      <c r="Z18" s="288">
        <f t="shared" si="4"/>
        <v>436.84</v>
      </c>
      <c r="AA18" s="289">
        <f t="shared" si="4"/>
        <v>325.71000000000004</v>
      </c>
      <c r="AB18" s="286">
        <f t="shared" si="4"/>
        <v>953.18999999999994</v>
      </c>
      <c r="AC18" s="286">
        <f t="shared" si="4"/>
        <v>551.74</v>
      </c>
      <c r="AD18" s="288">
        <f t="shared" si="4"/>
        <v>1872.6599999999999</v>
      </c>
      <c r="AE18" s="286">
        <f t="shared" si="4"/>
        <v>1583.49</v>
      </c>
      <c r="AF18" s="286">
        <f t="shared" si="4"/>
        <v>4720.7300000000014</v>
      </c>
      <c r="AG18" s="286">
        <f t="shared" si="4"/>
        <v>3917.2999999999993</v>
      </c>
      <c r="AH18" s="288">
        <f t="shared" si="4"/>
        <v>1141.1099999999999</v>
      </c>
      <c r="AI18" s="286">
        <f t="shared" ref="AI18:AU18" si="5">SUM(AI5:AI17)</f>
        <v>932.30000000000007</v>
      </c>
      <c r="AJ18" s="286">
        <f t="shared" si="5"/>
        <v>667.79</v>
      </c>
      <c r="AK18" s="286">
        <f t="shared" si="5"/>
        <v>620.31999999999994</v>
      </c>
      <c r="AL18" s="288">
        <f t="shared" si="5"/>
        <v>0</v>
      </c>
      <c r="AM18" s="286">
        <f t="shared" si="5"/>
        <v>0</v>
      </c>
      <c r="AN18" s="288">
        <f t="shared" si="5"/>
        <v>11611.210000000001</v>
      </c>
      <c r="AO18" s="286">
        <f t="shared" si="5"/>
        <v>8128.1100000000006</v>
      </c>
      <c r="AP18" s="288">
        <f t="shared" si="5"/>
        <v>374.22</v>
      </c>
      <c r="AQ18" s="286">
        <f t="shared" si="5"/>
        <v>351.40000000000003</v>
      </c>
      <c r="AR18" s="288">
        <f t="shared" si="5"/>
        <v>799.50000000000011</v>
      </c>
      <c r="AS18" s="286">
        <f t="shared" si="5"/>
        <v>551.84000000000015</v>
      </c>
      <c r="AT18" s="288">
        <f t="shared" si="5"/>
        <v>3124.25</v>
      </c>
      <c r="AU18" s="286">
        <f t="shared" si="5"/>
        <v>2549.0599999999995</v>
      </c>
      <c r="AV18" s="291">
        <f t="shared" si="0"/>
        <v>44410</v>
      </c>
      <c r="AW18" s="886">
        <f t="shared" si="1"/>
        <v>36089.229999999996</v>
      </c>
      <c r="AX18" s="290">
        <f>SUM(AX5:AX17)</f>
        <v>35825.830000000009</v>
      </c>
      <c r="AY18" s="892">
        <f>SUM(AY5:AY17)</f>
        <v>40501.79</v>
      </c>
      <c r="AZ18" s="291">
        <f t="shared" si="2"/>
        <v>80235.830000000016</v>
      </c>
      <c r="BA18" s="292">
        <f t="shared" si="3"/>
        <v>76591.01999999999</v>
      </c>
      <c r="BB18" s="532"/>
      <c r="BC18" s="532"/>
      <c r="BD18" s="532"/>
      <c r="BE18" s="532"/>
      <c r="BF18" s="532"/>
    </row>
    <row r="19" spans="1:58" ht="18" thickBot="1" x14ac:dyDescent="0.4">
      <c r="A19" s="208" t="s">
        <v>11</v>
      </c>
      <c r="B19" s="209"/>
      <c r="C19" s="210"/>
      <c r="D19" s="192"/>
      <c r="E19" s="193"/>
      <c r="F19" s="192">
        <v>0.08</v>
      </c>
      <c r="G19" s="698">
        <v>0.03</v>
      </c>
      <c r="H19" s="192"/>
      <c r="I19" s="194"/>
      <c r="J19" s="192"/>
      <c r="K19" s="193"/>
      <c r="L19" s="192"/>
      <c r="M19" s="193"/>
      <c r="N19" s="192"/>
      <c r="O19" s="192"/>
      <c r="P19" s="211"/>
      <c r="Q19" s="212"/>
      <c r="R19" s="211">
        <v>5.42</v>
      </c>
      <c r="S19" s="211">
        <v>6.26</v>
      </c>
      <c r="T19" s="211"/>
      <c r="U19" s="213"/>
      <c r="V19" s="211"/>
      <c r="W19" s="213"/>
      <c r="X19" s="211"/>
      <c r="Y19" s="213"/>
      <c r="Z19" s="211"/>
      <c r="AA19" s="744"/>
      <c r="AB19" s="195"/>
      <c r="AC19" s="193"/>
      <c r="AD19" s="192">
        <v>0.13</v>
      </c>
      <c r="AE19" s="192">
        <v>0.62</v>
      </c>
      <c r="AF19" s="195"/>
      <c r="AG19" s="193"/>
      <c r="AH19" s="192"/>
      <c r="AI19" s="192"/>
      <c r="AJ19" s="195"/>
      <c r="AK19" s="193"/>
      <c r="AL19" s="417"/>
      <c r="AM19" s="193"/>
      <c r="AN19" s="546"/>
      <c r="AO19" s="214"/>
      <c r="AP19" s="196"/>
      <c r="AQ19" s="197"/>
      <c r="AR19" s="199"/>
      <c r="AS19" s="198"/>
      <c r="AT19" s="192"/>
      <c r="AU19" s="193"/>
      <c r="AV19" s="200">
        <f t="shared" si="0"/>
        <v>5.63</v>
      </c>
      <c r="AW19" s="887">
        <f t="shared" si="1"/>
        <v>6.91</v>
      </c>
      <c r="AX19" s="199"/>
      <c r="AY19" s="893"/>
      <c r="AZ19" s="200">
        <f t="shared" si="2"/>
        <v>5.63</v>
      </c>
      <c r="BA19" s="201">
        <f t="shared" si="3"/>
        <v>6.91</v>
      </c>
    </row>
    <row r="20" spans="1:58" s="293" customFormat="1" ht="18.75" thickBot="1" x14ac:dyDescent="0.4">
      <c r="A20" s="294" t="s">
        <v>12</v>
      </c>
      <c r="B20" s="295">
        <f>B18+B19</f>
        <v>1616.3</v>
      </c>
      <c r="C20" s="295">
        <f t="shared" ref="C20:AH20" si="6">C18+C19</f>
        <v>1336.95</v>
      </c>
      <c r="D20" s="297">
        <f t="shared" si="6"/>
        <v>9.4699999999999989</v>
      </c>
      <c r="E20" s="295">
        <f t="shared" si="6"/>
        <v>30.509999999999998</v>
      </c>
      <c r="F20" s="297">
        <f t="shared" si="6"/>
        <v>120.21000000000001</v>
      </c>
      <c r="G20" s="296">
        <f t="shared" si="6"/>
        <v>89.18</v>
      </c>
      <c r="H20" s="297">
        <f t="shared" si="6"/>
        <v>0</v>
      </c>
      <c r="I20" s="298">
        <f t="shared" si="6"/>
        <v>1509</v>
      </c>
      <c r="J20" s="297">
        <f t="shared" si="6"/>
        <v>500.88</v>
      </c>
      <c r="K20" s="295">
        <f t="shared" si="6"/>
        <v>417.24</v>
      </c>
      <c r="L20" s="297">
        <f t="shared" si="6"/>
        <v>1099.51</v>
      </c>
      <c r="M20" s="295">
        <f t="shared" si="6"/>
        <v>856.99</v>
      </c>
      <c r="N20" s="297">
        <f t="shared" si="6"/>
        <v>86.83</v>
      </c>
      <c r="O20" s="295">
        <f t="shared" si="6"/>
        <v>86.07</v>
      </c>
      <c r="P20" s="297">
        <f t="shared" si="6"/>
        <v>97.789999999999992</v>
      </c>
      <c r="Q20" s="295">
        <f t="shared" si="6"/>
        <v>250.89000000000004</v>
      </c>
      <c r="R20" s="297">
        <f t="shared" si="6"/>
        <v>562.13</v>
      </c>
      <c r="S20" s="295">
        <f t="shared" si="6"/>
        <v>405.92999999999995</v>
      </c>
      <c r="T20" s="297">
        <f t="shared" si="6"/>
        <v>180.54</v>
      </c>
      <c r="U20" s="295">
        <f t="shared" si="6"/>
        <v>187.48</v>
      </c>
      <c r="V20" s="297">
        <f t="shared" si="6"/>
        <v>8059.87</v>
      </c>
      <c r="W20" s="295">
        <f t="shared" si="6"/>
        <v>6790.2099999999991</v>
      </c>
      <c r="X20" s="297">
        <f t="shared" si="6"/>
        <v>6380.4699999999984</v>
      </c>
      <c r="Y20" s="295">
        <f t="shared" si="6"/>
        <v>4623.8</v>
      </c>
      <c r="Z20" s="297">
        <f t="shared" si="6"/>
        <v>436.84</v>
      </c>
      <c r="AA20" s="298">
        <f t="shared" si="6"/>
        <v>325.71000000000004</v>
      </c>
      <c r="AB20" s="295">
        <f t="shared" si="6"/>
        <v>953.18999999999994</v>
      </c>
      <c r="AC20" s="295">
        <f t="shared" si="6"/>
        <v>551.74</v>
      </c>
      <c r="AD20" s="297">
        <f t="shared" si="6"/>
        <v>1872.79</v>
      </c>
      <c r="AE20" s="295">
        <f t="shared" si="6"/>
        <v>1584.11</v>
      </c>
      <c r="AF20" s="295">
        <f t="shared" si="6"/>
        <v>4720.7300000000014</v>
      </c>
      <c r="AG20" s="295">
        <f t="shared" si="6"/>
        <v>3917.2999999999993</v>
      </c>
      <c r="AH20" s="297">
        <f t="shared" si="6"/>
        <v>1141.1099999999999</v>
      </c>
      <c r="AI20" s="295">
        <f t="shared" ref="AI20:AU20" si="7">AI18+AI19</f>
        <v>932.30000000000007</v>
      </c>
      <c r="AJ20" s="295">
        <f t="shared" si="7"/>
        <v>667.79</v>
      </c>
      <c r="AK20" s="295">
        <f t="shared" si="7"/>
        <v>620.31999999999994</v>
      </c>
      <c r="AL20" s="297">
        <f t="shared" si="7"/>
        <v>0</v>
      </c>
      <c r="AM20" s="295">
        <f t="shared" si="7"/>
        <v>0</v>
      </c>
      <c r="AN20" s="297">
        <f t="shared" si="7"/>
        <v>11611.210000000001</v>
      </c>
      <c r="AO20" s="295">
        <f t="shared" si="7"/>
        <v>8128.1100000000006</v>
      </c>
      <c r="AP20" s="297">
        <f t="shared" si="7"/>
        <v>374.22</v>
      </c>
      <c r="AQ20" s="295">
        <f t="shared" si="7"/>
        <v>351.40000000000003</v>
      </c>
      <c r="AR20" s="297">
        <f t="shared" si="7"/>
        <v>799.50000000000011</v>
      </c>
      <c r="AS20" s="295">
        <f t="shared" si="7"/>
        <v>551.84000000000015</v>
      </c>
      <c r="AT20" s="297">
        <f t="shared" si="7"/>
        <v>3124.25</v>
      </c>
      <c r="AU20" s="295">
        <f t="shared" si="7"/>
        <v>2549.0599999999995</v>
      </c>
      <c r="AV20" s="299">
        <f t="shared" si="0"/>
        <v>44415.63</v>
      </c>
      <c r="AW20" s="888">
        <f t="shared" si="1"/>
        <v>36096.14</v>
      </c>
      <c r="AX20" s="299">
        <f>AX18+AX19</f>
        <v>35825.830000000009</v>
      </c>
      <c r="AY20" s="300">
        <f>AY18+AY19</f>
        <v>40501.79</v>
      </c>
      <c r="AZ20" s="299">
        <f t="shared" si="2"/>
        <v>80241.460000000006</v>
      </c>
      <c r="BA20" s="300">
        <f t="shared" si="3"/>
        <v>76597.929999999993</v>
      </c>
      <c r="BB20" s="532"/>
      <c r="BC20" s="532"/>
      <c r="BD20" s="532"/>
      <c r="BE20" s="532"/>
      <c r="BF20" s="532"/>
    </row>
    <row r="21" spans="1:58" x14ac:dyDescent="0.3">
      <c r="AT21" s="55"/>
      <c r="AU21" s="55"/>
    </row>
  </sheetData>
  <mergeCells count="29">
    <mergeCell ref="J3:K3"/>
    <mergeCell ref="L3:M3"/>
    <mergeCell ref="N3:O3"/>
    <mergeCell ref="AB3:AC3"/>
    <mergeCell ref="AD3:AE3"/>
    <mergeCell ref="AF3:AG3"/>
    <mergeCell ref="V3:W3"/>
    <mergeCell ref="X3:Y3"/>
    <mergeCell ref="Z3:AA3"/>
    <mergeCell ref="A1:AZ1"/>
    <mergeCell ref="A2:AZ2"/>
    <mergeCell ref="A3:A4"/>
    <mergeCell ref="B3:C3"/>
    <mergeCell ref="D3:E3"/>
    <mergeCell ref="F3:G3"/>
    <mergeCell ref="H3:I3"/>
    <mergeCell ref="P3:Q3"/>
    <mergeCell ref="R3:S3"/>
    <mergeCell ref="T3:U3"/>
    <mergeCell ref="AH3:AI3"/>
    <mergeCell ref="AJ3:AK3"/>
    <mergeCell ref="AL3:AM3"/>
    <mergeCell ref="AZ3:BA3"/>
    <mergeCell ref="AN3:AO3"/>
    <mergeCell ref="AP3:AQ3"/>
    <mergeCell ref="AR3:AS3"/>
    <mergeCell ref="AT3:AU3"/>
    <mergeCell ref="AV3:AW3"/>
    <mergeCell ref="AX3:AY3"/>
  </mergeCells>
  <pageMargins left="0.7" right="0.7" top="0.75" bottom="0.75" header="0.3" footer="0.3"/>
  <pageSetup orientation="portrait" horizontalDpi="4294967293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</sheetPr>
  <dimension ref="A1:BB20"/>
  <sheetViews>
    <sheetView topLeftCell="A3" workbookViewId="0">
      <pane xSplit="1" topLeftCell="B1" activePane="topRight" state="frozen"/>
      <selection pane="topRight" activeCell="H23" sqref="H23"/>
    </sheetView>
  </sheetViews>
  <sheetFormatPr defaultRowHeight="14.25" x14ac:dyDescent="0.3"/>
  <cols>
    <col min="1" max="1" width="24.28515625" style="6" bestFit="1" customWidth="1"/>
    <col min="2" max="25" width="15" style="6" bestFit="1" customWidth="1"/>
    <col min="26" max="27" width="15" style="20" bestFit="1" customWidth="1"/>
    <col min="28" max="53" width="15" style="6" bestFit="1" customWidth="1"/>
    <col min="54" max="54" width="9.5703125" style="6" bestFit="1" customWidth="1"/>
    <col min="55" max="16384" width="9.140625" style="6"/>
  </cols>
  <sheetData>
    <row r="1" spans="1:54" ht="28.5" customHeight="1" x14ac:dyDescent="0.3">
      <c r="A1" s="1218" t="s">
        <v>113</v>
      </c>
      <c r="B1" s="1218"/>
      <c r="C1" s="1218"/>
      <c r="D1" s="1218"/>
      <c r="E1" s="1218"/>
      <c r="F1" s="1218"/>
      <c r="G1" s="1218"/>
      <c r="H1" s="1218"/>
      <c r="I1" s="1218"/>
      <c r="J1" s="1218"/>
      <c r="K1" s="1218"/>
      <c r="L1" s="1218"/>
      <c r="M1" s="1218"/>
      <c r="N1" s="1218"/>
      <c r="O1" s="1218"/>
      <c r="P1" s="1218"/>
      <c r="Q1" s="1218"/>
      <c r="R1" s="1218"/>
      <c r="S1" s="1218"/>
      <c r="T1" s="1218"/>
      <c r="U1" s="1218"/>
      <c r="V1" s="1218"/>
      <c r="W1" s="1218"/>
      <c r="X1" s="1218"/>
      <c r="Y1" s="1218"/>
      <c r="Z1" s="1218"/>
      <c r="AA1" s="1218"/>
      <c r="AB1" s="1218"/>
      <c r="AC1" s="1218"/>
      <c r="AD1" s="1218"/>
      <c r="AE1" s="1218"/>
      <c r="AF1" s="1218"/>
      <c r="AG1" s="1218"/>
      <c r="AH1" s="1218"/>
      <c r="AI1" s="1218"/>
      <c r="AJ1" s="1218"/>
      <c r="AK1" s="1218"/>
      <c r="AL1" s="1218"/>
      <c r="AM1" s="1218"/>
      <c r="AN1" s="1218"/>
      <c r="AO1" s="1218"/>
      <c r="AP1" s="1218"/>
      <c r="AQ1" s="1218"/>
      <c r="AR1" s="1218"/>
      <c r="AS1" s="1218"/>
      <c r="AT1" s="1218"/>
      <c r="AU1" s="1218"/>
      <c r="AV1" s="1218"/>
      <c r="AW1" s="1218"/>
      <c r="AX1" s="1218"/>
      <c r="AY1" s="1218"/>
      <c r="AZ1" s="1218"/>
      <c r="BA1" s="22"/>
    </row>
    <row r="2" spans="1:54" ht="15" thickBot="1" x14ac:dyDescent="0.35">
      <c r="A2" s="1145"/>
      <c r="B2" s="1145"/>
      <c r="C2" s="1145"/>
      <c r="D2" s="1145"/>
      <c r="E2" s="1145"/>
      <c r="F2" s="1145"/>
      <c r="G2" s="1145"/>
      <c r="H2" s="1145"/>
      <c r="I2" s="1145"/>
      <c r="J2" s="1145"/>
      <c r="K2" s="1145"/>
      <c r="L2" s="1145"/>
      <c r="M2" s="1145"/>
      <c r="N2" s="1145"/>
      <c r="O2" s="1145"/>
      <c r="P2" s="1145"/>
      <c r="Q2" s="1145"/>
      <c r="R2" s="1145"/>
      <c r="S2" s="1145"/>
      <c r="T2" s="1145"/>
      <c r="U2" s="1145"/>
      <c r="V2" s="1145"/>
      <c r="W2" s="1145"/>
      <c r="X2" s="1145"/>
      <c r="Y2" s="1145"/>
      <c r="Z2" s="1145"/>
      <c r="AA2" s="1145"/>
      <c r="AB2" s="1145"/>
      <c r="AC2" s="1145"/>
      <c r="AD2" s="1145"/>
      <c r="AE2" s="1145"/>
      <c r="AF2" s="1145"/>
      <c r="AG2" s="1145"/>
      <c r="AH2" s="1145"/>
      <c r="AI2" s="1145"/>
      <c r="AJ2" s="1145"/>
      <c r="AK2" s="1145"/>
      <c r="AL2" s="1145"/>
      <c r="AM2" s="1145"/>
      <c r="AN2" s="1145"/>
      <c r="AO2" s="1145"/>
      <c r="AP2" s="1145"/>
      <c r="AQ2" s="1145"/>
      <c r="AR2" s="1145"/>
      <c r="AS2" s="1145"/>
      <c r="AT2" s="1145"/>
      <c r="AU2" s="1145"/>
      <c r="AV2" s="1145"/>
      <c r="AW2" s="1145"/>
      <c r="AX2" s="1145"/>
      <c r="AY2" s="1145"/>
      <c r="AZ2" s="1145"/>
      <c r="BA2" s="23"/>
    </row>
    <row r="3" spans="1:54" ht="27.75" customHeight="1" thickBot="1" x14ac:dyDescent="0.35">
      <c r="A3" s="1219" t="s">
        <v>14</v>
      </c>
      <c r="B3" s="1221" t="s">
        <v>114</v>
      </c>
      <c r="C3" s="1222"/>
      <c r="D3" s="1213" t="s">
        <v>115</v>
      </c>
      <c r="E3" s="1214"/>
      <c r="F3" s="1216" t="s">
        <v>116</v>
      </c>
      <c r="G3" s="1216"/>
      <c r="H3" s="1213" t="s">
        <v>117</v>
      </c>
      <c r="I3" s="1214"/>
      <c r="J3" s="1216" t="s">
        <v>118</v>
      </c>
      <c r="K3" s="1216"/>
      <c r="L3" s="1213" t="s">
        <v>119</v>
      </c>
      <c r="M3" s="1214"/>
      <c r="N3" s="1216" t="s">
        <v>220</v>
      </c>
      <c r="O3" s="1216"/>
      <c r="P3" s="1213" t="s">
        <v>120</v>
      </c>
      <c r="Q3" s="1216"/>
      <c r="R3" s="1213" t="s">
        <v>121</v>
      </c>
      <c r="S3" s="1214"/>
      <c r="T3" s="1216" t="s">
        <v>122</v>
      </c>
      <c r="U3" s="1216"/>
      <c r="V3" s="1213" t="s">
        <v>123</v>
      </c>
      <c r="W3" s="1214"/>
      <c r="X3" s="1216" t="s">
        <v>124</v>
      </c>
      <c r="Y3" s="1216"/>
      <c r="Z3" s="1064" t="s">
        <v>227</v>
      </c>
      <c r="AA3" s="1217"/>
      <c r="AB3" s="1213" t="s">
        <v>125</v>
      </c>
      <c r="AC3" s="1214"/>
      <c r="AD3" s="1210" t="s">
        <v>126</v>
      </c>
      <c r="AE3" s="1210"/>
      <c r="AF3" s="1213" t="s">
        <v>127</v>
      </c>
      <c r="AG3" s="1214"/>
      <c r="AH3" s="1213" t="s">
        <v>128</v>
      </c>
      <c r="AI3" s="1214"/>
      <c r="AJ3" s="1216" t="s">
        <v>129</v>
      </c>
      <c r="AK3" s="1216"/>
      <c r="AL3" s="1210" t="s">
        <v>130</v>
      </c>
      <c r="AM3" s="1210"/>
      <c r="AN3" s="1213" t="s">
        <v>131</v>
      </c>
      <c r="AO3" s="1214"/>
      <c r="AP3" s="1215" t="s">
        <v>132</v>
      </c>
      <c r="AQ3" s="1091"/>
      <c r="AR3" s="1090" t="s">
        <v>133</v>
      </c>
      <c r="AS3" s="1090"/>
      <c r="AT3" s="1215" t="s">
        <v>134</v>
      </c>
      <c r="AU3" s="1090"/>
      <c r="AV3" s="1215" t="s">
        <v>1</v>
      </c>
      <c r="AW3" s="1090"/>
      <c r="AX3" s="1211" t="s">
        <v>135</v>
      </c>
      <c r="AY3" s="1212"/>
      <c r="AZ3" s="1211" t="s">
        <v>2</v>
      </c>
      <c r="BA3" s="1212"/>
    </row>
    <row r="4" spans="1:54" ht="15" thickBot="1" x14ac:dyDescent="0.35">
      <c r="A4" s="1220"/>
      <c r="B4" s="343" t="s">
        <v>329</v>
      </c>
      <c r="C4" s="344" t="s">
        <v>223</v>
      </c>
      <c r="D4" s="343" t="s">
        <v>329</v>
      </c>
      <c r="E4" s="344" t="s">
        <v>223</v>
      </c>
      <c r="F4" s="343" t="s">
        <v>329</v>
      </c>
      <c r="G4" s="344" t="s">
        <v>223</v>
      </c>
      <c r="H4" s="343" t="s">
        <v>329</v>
      </c>
      <c r="I4" s="344" t="s">
        <v>223</v>
      </c>
      <c r="J4" s="343" t="s">
        <v>329</v>
      </c>
      <c r="K4" s="344" t="s">
        <v>223</v>
      </c>
      <c r="L4" s="343" t="s">
        <v>329</v>
      </c>
      <c r="M4" s="344" t="s">
        <v>223</v>
      </c>
      <c r="N4" s="343" t="s">
        <v>329</v>
      </c>
      <c r="O4" s="344" t="s">
        <v>223</v>
      </c>
      <c r="P4" s="343" t="s">
        <v>329</v>
      </c>
      <c r="Q4" s="344" t="s">
        <v>223</v>
      </c>
      <c r="R4" s="343" t="s">
        <v>329</v>
      </c>
      <c r="S4" s="344" t="s">
        <v>223</v>
      </c>
      <c r="T4" s="343" t="s">
        <v>329</v>
      </c>
      <c r="U4" s="344" t="s">
        <v>223</v>
      </c>
      <c r="V4" s="343" t="s">
        <v>329</v>
      </c>
      <c r="W4" s="344" t="s">
        <v>223</v>
      </c>
      <c r="X4" s="343" t="s">
        <v>329</v>
      </c>
      <c r="Y4" s="344" t="s">
        <v>223</v>
      </c>
      <c r="Z4" s="343" t="s">
        <v>329</v>
      </c>
      <c r="AA4" s="344" t="s">
        <v>223</v>
      </c>
      <c r="AB4" s="343" t="s">
        <v>329</v>
      </c>
      <c r="AC4" s="344" t="s">
        <v>223</v>
      </c>
      <c r="AD4" s="343" t="s">
        <v>329</v>
      </c>
      <c r="AE4" s="344" t="s">
        <v>223</v>
      </c>
      <c r="AF4" s="343" t="s">
        <v>329</v>
      </c>
      <c r="AG4" s="344" t="s">
        <v>223</v>
      </c>
      <c r="AH4" s="343" t="s">
        <v>329</v>
      </c>
      <c r="AI4" s="344" t="s">
        <v>223</v>
      </c>
      <c r="AJ4" s="343" t="s">
        <v>329</v>
      </c>
      <c r="AK4" s="344" t="s">
        <v>223</v>
      </c>
      <c r="AL4" s="343" t="s">
        <v>329</v>
      </c>
      <c r="AM4" s="344" t="s">
        <v>223</v>
      </c>
      <c r="AN4" s="343" t="s">
        <v>329</v>
      </c>
      <c r="AO4" s="344" t="s">
        <v>223</v>
      </c>
      <c r="AP4" s="343" t="s">
        <v>329</v>
      </c>
      <c r="AQ4" s="344" t="s">
        <v>223</v>
      </c>
      <c r="AR4" s="343" t="s">
        <v>329</v>
      </c>
      <c r="AS4" s="344" t="s">
        <v>223</v>
      </c>
      <c r="AT4" s="343" t="s">
        <v>329</v>
      </c>
      <c r="AU4" s="344" t="s">
        <v>223</v>
      </c>
      <c r="AV4" s="343" t="s">
        <v>329</v>
      </c>
      <c r="AW4" s="344" t="s">
        <v>223</v>
      </c>
      <c r="AX4" s="343" t="s">
        <v>329</v>
      </c>
      <c r="AY4" s="344" t="s">
        <v>223</v>
      </c>
      <c r="AZ4" s="343" t="s">
        <v>329</v>
      </c>
      <c r="BA4" s="344" t="s">
        <v>223</v>
      </c>
    </row>
    <row r="5" spans="1:54" ht="15" x14ac:dyDescent="0.3">
      <c r="A5" s="24" t="s">
        <v>3</v>
      </c>
      <c r="B5" s="25">
        <v>63505</v>
      </c>
      <c r="C5" s="26">
        <v>80167</v>
      </c>
      <c r="D5" s="30">
        <v>-4</v>
      </c>
      <c r="E5" s="29">
        <v>20</v>
      </c>
      <c r="F5" s="27">
        <v>2419</v>
      </c>
      <c r="G5" s="28">
        <v>3672</v>
      </c>
      <c r="H5" s="30"/>
      <c r="I5" s="29">
        <v>91024</v>
      </c>
      <c r="J5" s="27">
        <v>35262</v>
      </c>
      <c r="K5" s="28">
        <v>35827</v>
      </c>
      <c r="L5" s="30">
        <v>474</v>
      </c>
      <c r="M5" s="29">
        <v>893</v>
      </c>
      <c r="N5" s="27">
        <v>6962</v>
      </c>
      <c r="O5" s="28">
        <v>7495</v>
      </c>
      <c r="P5" s="30">
        <v>20545</v>
      </c>
      <c r="Q5" s="674">
        <v>26627</v>
      </c>
      <c r="R5" s="30">
        <v>36810</v>
      </c>
      <c r="S5" s="29">
        <v>47485</v>
      </c>
      <c r="T5" s="27">
        <v>3307</v>
      </c>
      <c r="U5" s="674">
        <v>2526</v>
      </c>
      <c r="V5" s="30">
        <v>105058</v>
      </c>
      <c r="W5" s="29">
        <v>97100</v>
      </c>
      <c r="X5" s="27">
        <v>119420</v>
      </c>
      <c r="Y5" s="28">
        <v>107235</v>
      </c>
      <c r="Z5" s="32">
        <v>3129</v>
      </c>
      <c r="AA5" s="677">
        <v>2675</v>
      </c>
      <c r="AB5" s="30">
        <v>6192</v>
      </c>
      <c r="AC5" s="29">
        <v>3514</v>
      </c>
      <c r="AD5" s="27">
        <v>49684</v>
      </c>
      <c r="AE5" s="674">
        <v>61153</v>
      </c>
      <c r="AF5" s="30">
        <v>71896</v>
      </c>
      <c r="AG5" s="29">
        <v>86533</v>
      </c>
      <c r="AH5" s="30">
        <v>5887</v>
      </c>
      <c r="AI5" s="29">
        <v>6095</v>
      </c>
      <c r="AJ5" s="160">
        <v>40612</v>
      </c>
      <c r="AK5" s="161">
        <v>45065</v>
      </c>
      <c r="AL5" s="238"/>
      <c r="AM5" s="604"/>
      <c r="AN5" s="680">
        <v>427748</v>
      </c>
      <c r="AO5" s="681">
        <v>368487</v>
      </c>
      <c r="AP5" s="692">
        <v>3367</v>
      </c>
      <c r="AQ5" s="693">
        <v>3350</v>
      </c>
      <c r="AR5" s="33">
        <v>5</v>
      </c>
      <c r="AS5" s="34">
        <v>-7</v>
      </c>
      <c r="AT5" s="30">
        <v>86836</v>
      </c>
      <c r="AU5" s="28">
        <v>86483</v>
      </c>
      <c r="AV5" s="236">
        <f t="shared" ref="AV5:AV20" si="0">SUM(B5+D5+F5+H5+J5+L5+N5+P5+R5+T5+V5+X5+Z5+AB5+AD5+AF5+AH5+AJ5+AL5+AN5+AP5+AR5+AT5)</f>
        <v>1089114</v>
      </c>
      <c r="AW5" s="236">
        <f t="shared" ref="AW5:AW20" si="1">SUM(C5+E5+G5+I5+K5+M5+O5+Q5+S5+U5+W5+Y5+AA5+AC5+AE5+AG5+AI5+AK5+AM5+AO5+AQ5+AS5+AU5)</f>
        <v>1163419</v>
      </c>
      <c r="AX5" s="237">
        <v>11912812</v>
      </c>
      <c r="AY5" s="629">
        <v>10758760</v>
      </c>
      <c r="AZ5" s="236">
        <f t="shared" ref="AZ5:AZ20" si="2">AV5+AX5</f>
        <v>13001926</v>
      </c>
      <c r="BA5" s="35">
        <f t="shared" ref="BA5:BA20" si="3">AW5+AY5</f>
        <v>11922179</v>
      </c>
      <c r="BB5" s="36"/>
    </row>
    <row r="6" spans="1:54" ht="15" x14ac:dyDescent="0.3">
      <c r="A6" s="24" t="s">
        <v>4</v>
      </c>
      <c r="B6" s="37">
        <v>80408</v>
      </c>
      <c r="C6" s="26">
        <v>91211</v>
      </c>
      <c r="D6" s="11"/>
      <c r="E6" s="29"/>
      <c r="F6" s="13">
        <v>7093</v>
      </c>
      <c r="G6" s="28">
        <v>5291</v>
      </c>
      <c r="H6" s="11"/>
      <c r="I6" s="29">
        <v>108451</v>
      </c>
      <c r="J6" s="13">
        <v>6985</v>
      </c>
      <c r="K6" s="28">
        <v>5278</v>
      </c>
      <c r="L6" s="11">
        <v>98799</v>
      </c>
      <c r="M6" s="14">
        <v>92206</v>
      </c>
      <c r="N6" s="13">
        <v>14</v>
      </c>
      <c r="O6" s="28">
        <v>582</v>
      </c>
      <c r="P6" s="11">
        <v>6529</v>
      </c>
      <c r="Q6" s="674">
        <v>7550</v>
      </c>
      <c r="R6" s="11">
        <v>6548</v>
      </c>
      <c r="S6" s="29">
        <v>6800</v>
      </c>
      <c r="T6" s="13">
        <v>4144</v>
      </c>
      <c r="U6" s="674">
        <v>7299</v>
      </c>
      <c r="V6" s="11">
        <v>299072</v>
      </c>
      <c r="W6" s="29">
        <v>334628</v>
      </c>
      <c r="X6" s="13">
        <v>204125</v>
      </c>
      <c r="Y6" s="28">
        <v>208195</v>
      </c>
      <c r="Z6" s="38">
        <v>22855</v>
      </c>
      <c r="AA6" s="677">
        <v>21079</v>
      </c>
      <c r="AB6" s="11">
        <v>141557</v>
      </c>
      <c r="AC6" s="29">
        <v>90386</v>
      </c>
      <c r="AD6" s="13">
        <v>75159</v>
      </c>
      <c r="AE6" s="674">
        <v>73881</v>
      </c>
      <c r="AF6" s="11">
        <v>218115</v>
      </c>
      <c r="AG6" s="29">
        <v>239704</v>
      </c>
      <c r="AH6" s="11">
        <v>108973</v>
      </c>
      <c r="AI6" s="29">
        <v>104207</v>
      </c>
      <c r="AJ6" s="160">
        <v>3187</v>
      </c>
      <c r="AK6" s="161">
        <v>2687</v>
      </c>
      <c r="AL6" s="239"/>
      <c r="AM6" s="165"/>
      <c r="AN6" s="682">
        <v>791568</v>
      </c>
      <c r="AO6" s="683">
        <v>670160</v>
      </c>
      <c r="AP6" s="606">
        <v>560</v>
      </c>
      <c r="AQ6" s="693">
        <v>994</v>
      </c>
      <c r="AR6" s="15">
        <v>88938</v>
      </c>
      <c r="AS6" s="34">
        <v>62173</v>
      </c>
      <c r="AT6" s="11">
        <v>143830</v>
      </c>
      <c r="AU6" s="28">
        <v>147662</v>
      </c>
      <c r="AV6" s="236">
        <f t="shared" si="0"/>
        <v>2308459</v>
      </c>
      <c r="AW6" s="236">
        <f t="shared" si="1"/>
        <v>2280424</v>
      </c>
      <c r="AX6" s="164">
        <v>139819</v>
      </c>
      <c r="AY6" s="629">
        <v>132005</v>
      </c>
      <c r="AZ6" s="236">
        <f t="shared" si="2"/>
        <v>2448278</v>
      </c>
      <c r="BA6" s="35">
        <f t="shared" si="3"/>
        <v>2412429</v>
      </c>
    </row>
    <row r="7" spans="1:54" ht="15" x14ac:dyDescent="0.3">
      <c r="A7" s="24" t="s">
        <v>5</v>
      </c>
      <c r="B7" s="37">
        <v>322</v>
      </c>
      <c r="C7" s="26">
        <v>187</v>
      </c>
      <c r="D7" s="11">
        <v>-2</v>
      </c>
      <c r="E7" s="29">
        <v>228</v>
      </c>
      <c r="F7" s="13">
        <v>584</v>
      </c>
      <c r="G7" s="28">
        <v>770</v>
      </c>
      <c r="H7" s="11"/>
      <c r="I7" s="29">
        <v>20065</v>
      </c>
      <c r="J7" s="13">
        <v>11697</v>
      </c>
      <c r="K7" s="28">
        <v>12575</v>
      </c>
      <c r="L7" s="11">
        <v>109</v>
      </c>
      <c r="M7" s="14">
        <v>242</v>
      </c>
      <c r="N7" s="13">
        <v>2633</v>
      </c>
      <c r="O7" s="28">
        <v>980</v>
      </c>
      <c r="P7" s="11">
        <v>2895</v>
      </c>
      <c r="Q7" s="674">
        <v>3781</v>
      </c>
      <c r="R7" s="11">
        <v>1831</v>
      </c>
      <c r="S7" s="29">
        <v>2318</v>
      </c>
      <c r="T7" s="13">
        <v>1528</v>
      </c>
      <c r="U7" s="674">
        <v>1364</v>
      </c>
      <c r="V7" s="11">
        <v>36757</v>
      </c>
      <c r="W7" s="29">
        <v>32512</v>
      </c>
      <c r="X7" s="13">
        <v>20430</v>
      </c>
      <c r="Y7" s="28">
        <v>23156</v>
      </c>
      <c r="Z7" s="38"/>
      <c r="AA7" s="677"/>
      <c r="AB7" s="11">
        <v>3287</v>
      </c>
      <c r="AC7" s="29">
        <v>3631</v>
      </c>
      <c r="AD7" s="13">
        <v>956</v>
      </c>
      <c r="AE7" s="674">
        <v>1182</v>
      </c>
      <c r="AF7" s="11">
        <v>4897</v>
      </c>
      <c r="AG7" s="29">
        <v>3786</v>
      </c>
      <c r="AH7" s="11">
        <v>5447</v>
      </c>
      <c r="AI7" s="29">
        <v>3076</v>
      </c>
      <c r="AJ7" s="160">
        <v>8415</v>
      </c>
      <c r="AK7" s="161">
        <v>9329</v>
      </c>
      <c r="AL7" s="239"/>
      <c r="AM7" s="165"/>
      <c r="AN7" s="682">
        <v>54900</v>
      </c>
      <c r="AO7" s="683">
        <v>45023</v>
      </c>
      <c r="AP7" s="606">
        <v>96835</v>
      </c>
      <c r="AQ7" s="693">
        <v>95733</v>
      </c>
      <c r="AR7" s="15"/>
      <c r="AS7" s="34"/>
      <c r="AT7" s="11">
        <v>3267</v>
      </c>
      <c r="AU7" s="28">
        <v>3808</v>
      </c>
      <c r="AV7" s="236">
        <f t="shared" si="0"/>
        <v>256788</v>
      </c>
      <c r="AW7" s="236">
        <f t="shared" si="1"/>
        <v>263746</v>
      </c>
      <c r="AX7" s="164">
        <v>18141</v>
      </c>
      <c r="AY7" s="629">
        <v>16250</v>
      </c>
      <c r="AZ7" s="236">
        <f t="shared" si="2"/>
        <v>274929</v>
      </c>
      <c r="BA7" s="35">
        <f t="shared" si="3"/>
        <v>279996</v>
      </c>
    </row>
    <row r="8" spans="1:54" ht="15" x14ac:dyDescent="0.3">
      <c r="A8" s="24" t="s">
        <v>6</v>
      </c>
      <c r="B8" s="37">
        <v>981</v>
      </c>
      <c r="C8" s="26">
        <v>36</v>
      </c>
      <c r="D8" s="11">
        <v>2680</v>
      </c>
      <c r="E8" s="29">
        <v>760</v>
      </c>
      <c r="F8" s="13">
        <v>100</v>
      </c>
      <c r="G8" s="28">
        <v>127</v>
      </c>
      <c r="H8" s="11"/>
      <c r="I8" s="29">
        <v>8343</v>
      </c>
      <c r="J8" s="13">
        <v>11344</v>
      </c>
      <c r="K8" s="28">
        <v>9809</v>
      </c>
      <c r="L8" s="11">
        <v>2029</v>
      </c>
      <c r="M8" s="14">
        <v>1651</v>
      </c>
      <c r="N8" s="13">
        <v>-2</v>
      </c>
      <c r="O8" s="28">
        <v>-14</v>
      </c>
      <c r="P8" s="11">
        <v>1967</v>
      </c>
      <c r="Q8" s="674">
        <v>3387</v>
      </c>
      <c r="R8" s="11">
        <v>27147</v>
      </c>
      <c r="S8" s="29">
        <v>27943</v>
      </c>
      <c r="T8" s="13">
        <v>444</v>
      </c>
      <c r="U8" s="674">
        <v>221</v>
      </c>
      <c r="V8" s="11">
        <v>43380</v>
      </c>
      <c r="W8" s="29">
        <v>28178</v>
      </c>
      <c r="X8" s="13">
        <v>30302</v>
      </c>
      <c r="Y8" s="28">
        <v>20669</v>
      </c>
      <c r="Z8" s="38">
        <v>1016</v>
      </c>
      <c r="AA8" s="677">
        <v>402</v>
      </c>
      <c r="AB8" s="11">
        <v>4425</v>
      </c>
      <c r="AC8" s="29">
        <v>1082</v>
      </c>
      <c r="AD8" s="13">
        <v>5145</v>
      </c>
      <c r="AE8" s="674">
        <v>3467</v>
      </c>
      <c r="AF8" s="11">
        <v>37257</v>
      </c>
      <c r="AG8" s="29">
        <v>2331</v>
      </c>
      <c r="AH8" s="11">
        <v>3813</v>
      </c>
      <c r="AI8" s="29">
        <v>6811</v>
      </c>
      <c r="AJ8" s="160">
        <v>3873</v>
      </c>
      <c r="AK8" s="161">
        <v>6147</v>
      </c>
      <c r="AL8" s="239"/>
      <c r="AM8" s="165"/>
      <c r="AN8" s="684">
        <v>432</v>
      </c>
      <c r="AO8" s="683">
        <v>109</v>
      </c>
      <c r="AP8" s="606">
        <v>18613</v>
      </c>
      <c r="AQ8" s="693">
        <v>18329</v>
      </c>
      <c r="AR8" s="15">
        <v>2</v>
      </c>
      <c r="AS8" s="34">
        <v>-4</v>
      </c>
      <c r="AT8" s="11">
        <v>67328</v>
      </c>
      <c r="AU8" s="28">
        <v>20065</v>
      </c>
      <c r="AV8" s="236">
        <f t="shared" si="0"/>
        <v>262276</v>
      </c>
      <c r="AW8" s="236">
        <f t="shared" si="1"/>
        <v>159849</v>
      </c>
      <c r="AX8" s="164">
        <v>827</v>
      </c>
      <c r="AY8" s="629">
        <v>840</v>
      </c>
      <c r="AZ8" s="236">
        <f t="shared" si="2"/>
        <v>263103</v>
      </c>
      <c r="BA8" s="35">
        <f t="shared" si="3"/>
        <v>160689</v>
      </c>
    </row>
    <row r="9" spans="1:54" ht="15" x14ac:dyDescent="0.3">
      <c r="A9" s="24" t="s">
        <v>7</v>
      </c>
      <c r="B9" s="37"/>
      <c r="C9" s="26"/>
      <c r="D9" s="11"/>
      <c r="E9" s="29"/>
      <c r="F9" s="13"/>
      <c r="G9" s="28"/>
      <c r="H9" s="11"/>
      <c r="I9" s="29"/>
      <c r="J9" s="13"/>
      <c r="K9" s="28"/>
      <c r="L9" s="11"/>
      <c r="M9" s="14"/>
      <c r="N9" s="13"/>
      <c r="O9" s="28"/>
      <c r="P9" s="11"/>
      <c r="Q9" s="674">
        <v>6</v>
      </c>
      <c r="R9" s="11"/>
      <c r="S9" s="29"/>
      <c r="T9" s="13"/>
      <c r="U9" s="674"/>
      <c r="V9" s="11"/>
      <c r="W9" s="29"/>
      <c r="X9" s="13"/>
      <c r="Y9" s="28"/>
      <c r="Z9" s="38"/>
      <c r="AA9" s="677"/>
      <c r="AB9" s="11"/>
      <c r="AC9" s="29"/>
      <c r="AD9" s="463">
        <v>3372</v>
      </c>
      <c r="AE9" s="674">
        <v>1055</v>
      </c>
      <c r="AF9" s="11"/>
      <c r="AG9" s="29"/>
      <c r="AH9" s="11"/>
      <c r="AI9" s="29"/>
      <c r="AJ9" s="160"/>
      <c r="AK9" s="161"/>
      <c r="AL9" s="239"/>
      <c r="AM9" s="165"/>
      <c r="AN9" s="685"/>
      <c r="AO9" s="683"/>
      <c r="AP9" s="606"/>
      <c r="AQ9" s="693"/>
      <c r="AR9" s="15"/>
      <c r="AS9" s="34"/>
      <c r="AT9" s="11">
        <v>11380</v>
      </c>
      <c r="AU9" s="28">
        <v>10633</v>
      </c>
      <c r="AV9" s="236">
        <f t="shared" si="0"/>
        <v>14752</v>
      </c>
      <c r="AW9" s="236">
        <f t="shared" si="1"/>
        <v>11694</v>
      </c>
      <c r="AX9" s="11">
        <v>526587</v>
      </c>
      <c r="AY9" s="629">
        <v>567543</v>
      </c>
      <c r="AZ9" s="30">
        <f t="shared" si="2"/>
        <v>541339</v>
      </c>
      <c r="BA9" s="466">
        <f t="shared" si="3"/>
        <v>579237</v>
      </c>
    </row>
    <row r="10" spans="1:54" ht="15" x14ac:dyDescent="0.3">
      <c r="A10" s="24" t="s">
        <v>15</v>
      </c>
      <c r="B10" s="37"/>
      <c r="C10" s="26"/>
      <c r="D10" s="11"/>
      <c r="E10" s="29"/>
      <c r="F10" s="13"/>
      <c r="G10" s="28"/>
      <c r="H10" s="11"/>
      <c r="I10" s="29"/>
      <c r="J10" s="13"/>
      <c r="K10" s="28"/>
      <c r="L10" s="11"/>
      <c r="M10" s="14"/>
      <c r="N10" s="13"/>
      <c r="O10" s="28"/>
      <c r="P10" s="11"/>
      <c r="Q10" s="674"/>
      <c r="R10" s="11"/>
      <c r="S10" s="29"/>
      <c r="T10" s="13"/>
      <c r="U10" s="674"/>
      <c r="V10" s="11"/>
      <c r="W10" s="29"/>
      <c r="X10" s="13"/>
      <c r="Y10" s="28"/>
      <c r="Z10" s="11"/>
      <c r="AA10" s="677"/>
      <c r="AB10" s="11">
        <v>10552</v>
      </c>
      <c r="AC10" s="29">
        <v>17121</v>
      </c>
      <c r="AD10" s="13">
        <v>2392</v>
      </c>
      <c r="AE10" s="674"/>
      <c r="AF10" s="11"/>
      <c r="AG10" s="29"/>
      <c r="AH10" s="11"/>
      <c r="AI10" s="29"/>
      <c r="AJ10" s="160"/>
      <c r="AK10" s="161"/>
      <c r="AL10" s="239"/>
      <c r="AM10" s="165"/>
      <c r="AN10" s="685"/>
      <c r="AO10" s="683"/>
      <c r="AP10" s="606"/>
      <c r="AQ10" s="693"/>
      <c r="AR10" s="15"/>
      <c r="AS10" s="34"/>
      <c r="AT10" s="11"/>
      <c r="AU10" s="28"/>
      <c r="AV10" s="236">
        <f t="shared" si="0"/>
        <v>12944</v>
      </c>
      <c r="AW10" s="236">
        <f t="shared" si="1"/>
        <v>17121</v>
      </c>
      <c r="AX10" s="164">
        <v>27634</v>
      </c>
      <c r="AY10" s="629"/>
      <c r="AZ10" s="236">
        <f t="shared" si="2"/>
        <v>40578</v>
      </c>
      <c r="BA10" s="35">
        <f t="shared" si="3"/>
        <v>17121</v>
      </c>
    </row>
    <row r="11" spans="1:54" ht="15" x14ac:dyDescent="0.3">
      <c r="A11" s="851" t="s">
        <v>8</v>
      </c>
      <c r="B11" s="37"/>
      <c r="C11" s="26"/>
      <c r="D11" s="11"/>
      <c r="E11" s="29"/>
      <c r="F11" s="13"/>
      <c r="G11" s="28"/>
      <c r="H11" s="11"/>
      <c r="I11" s="29">
        <v>21829</v>
      </c>
      <c r="J11" s="13"/>
      <c r="K11" s="28"/>
      <c r="L11" s="11"/>
      <c r="M11" s="14"/>
      <c r="N11" s="13"/>
      <c r="O11" s="28"/>
      <c r="P11" s="11"/>
      <c r="Q11" s="674"/>
      <c r="R11" s="11"/>
      <c r="S11" s="29"/>
      <c r="T11" s="13"/>
      <c r="U11" s="674"/>
      <c r="V11" s="11"/>
      <c r="W11" s="29"/>
      <c r="X11" s="13"/>
      <c r="Y11" s="28"/>
      <c r="Z11" s="11"/>
      <c r="AA11" s="677"/>
      <c r="AB11" s="11"/>
      <c r="AC11" s="29"/>
      <c r="AD11" s="13"/>
      <c r="AE11" s="674"/>
      <c r="AF11" s="11"/>
      <c r="AG11" s="29"/>
      <c r="AH11" s="11"/>
      <c r="AI11" s="29"/>
      <c r="AJ11" s="160"/>
      <c r="AK11" s="161"/>
      <c r="AL11" s="239"/>
      <c r="AM11" s="165"/>
      <c r="AN11" s="682"/>
      <c r="AO11" s="683"/>
      <c r="AP11" s="606"/>
      <c r="AQ11" s="693"/>
      <c r="AR11" s="15"/>
      <c r="AS11" s="34"/>
      <c r="AT11" s="11"/>
      <c r="AU11" s="28"/>
      <c r="AV11" s="236">
        <f t="shared" si="0"/>
        <v>0</v>
      </c>
      <c r="AW11" s="236">
        <f t="shared" si="1"/>
        <v>21829</v>
      </c>
      <c r="AX11" s="164"/>
      <c r="AY11" s="629"/>
      <c r="AZ11" s="236">
        <f t="shared" si="2"/>
        <v>0</v>
      </c>
      <c r="BA11" s="35">
        <f t="shared" si="3"/>
        <v>21829</v>
      </c>
    </row>
    <row r="12" spans="1:54" ht="15" x14ac:dyDescent="0.3">
      <c r="A12" s="24" t="s">
        <v>332</v>
      </c>
      <c r="B12" s="37">
        <v>1229</v>
      </c>
      <c r="C12" s="26">
        <v>552</v>
      </c>
      <c r="D12" s="11">
        <v>1489</v>
      </c>
      <c r="E12" s="29">
        <v>3025</v>
      </c>
      <c r="F12" s="13">
        <v>86</v>
      </c>
      <c r="G12" s="28">
        <v>558</v>
      </c>
      <c r="H12" s="11"/>
      <c r="I12" s="29"/>
      <c r="J12" s="13">
        <v>6234</v>
      </c>
      <c r="K12" s="28">
        <v>4375</v>
      </c>
      <c r="L12" s="11">
        <v>2142</v>
      </c>
      <c r="M12" s="14">
        <v>3164</v>
      </c>
      <c r="N12" s="13"/>
      <c r="O12" s="28">
        <v>248</v>
      </c>
      <c r="P12" s="11">
        <v>1339</v>
      </c>
      <c r="Q12" s="674">
        <v>3554</v>
      </c>
      <c r="R12" s="11"/>
      <c r="S12" s="29"/>
      <c r="T12" s="13">
        <v>65</v>
      </c>
      <c r="U12" s="674"/>
      <c r="V12" s="11">
        <v>94296</v>
      </c>
      <c r="W12" s="29">
        <v>122051</v>
      </c>
      <c r="X12" s="13">
        <v>17911</v>
      </c>
      <c r="Y12" s="28">
        <v>19691</v>
      </c>
      <c r="Z12" s="11">
        <v>9</v>
      </c>
      <c r="AA12" s="677">
        <v>77</v>
      </c>
      <c r="AB12" s="11"/>
      <c r="AC12" s="29"/>
      <c r="AD12" s="13">
        <v>1506</v>
      </c>
      <c r="AE12" s="674">
        <v>1417</v>
      </c>
      <c r="AF12" s="11">
        <v>26378</v>
      </c>
      <c r="AG12" s="29">
        <v>26387</v>
      </c>
      <c r="AH12" s="11">
        <v>816</v>
      </c>
      <c r="AI12" s="29">
        <v>1406</v>
      </c>
      <c r="AJ12" s="160">
        <v>14</v>
      </c>
      <c r="AK12" s="161">
        <v>135</v>
      </c>
      <c r="AL12" s="239"/>
      <c r="AM12" s="165"/>
      <c r="AN12" s="682">
        <v>25749</v>
      </c>
      <c r="AO12" s="683">
        <v>3956</v>
      </c>
      <c r="AP12" s="606">
        <v>3341</v>
      </c>
      <c r="AQ12" s="693">
        <v>4110</v>
      </c>
      <c r="AR12" s="15"/>
      <c r="AS12" s="34"/>
      <c r="AT12" s="11">
        <v>4391</v>
      </c>
      <c r="AU12" s="28">
        <v>156</v>
      </c>
      <c r="AV12" s="236"/>
      <c r="AW12" s="236"/>
      <c r="AX12" s="164">
        <v>10499</v>
      </c>
      <c r="AY12" s="629">
        <v>16506</v>
      </c>
      <c r="AZ12" s="236"/>
      <c r="BA12" s="35"/>
    </row>
    <row r="13" spans="1:54" ht="15" x14ac:dyDescent="0.3">
      <c r="A13" s="24" t="s">
        <v>333</v>
      </c>
      <c r="B13" s="37">
        <v>5304</v>
      </c>
      <c r="C13" s="26">
        <v>5130</v>
      </c>
      <c r="D13" s="11">
        <v>498</v>
      </c>
      <c r="E13" s="29">
        <v>6014</v>
      </c>
      <c r="F13" s="13">
        <v>3412</v>
      </c>
      <c r="G13" s="28">
        <v>2411</v>
      </c>
      <c r="H13" s="11"/>
      <c r="I13" s="29"/>
      <c r="J13" s="13">
        <v>7831</v>
      </c>
      <c r="K13" s="28">
        <v>7663</v>
      </c>
      <c r="L13" s="11">
        <v>2621</v>
      </c>
      <c r="M13" s="14">
        <v>1203</v>
      </c>
      <c r="N13" s="13">
        <v>10290</v>
      </c>
      <c r="O13" s="28">
        <v>11480</v>
      </c>
      <c r="P13" s="11">
        <v>6301</v>
      </c>
      <c r="Q13" s="674">
        <v>6083</v>
      </c>
      <c r="R13" s="11">
        <v>7020</v>
      </c>
      <c r="S13" s="29">
        <v>5954</v>
      </c>
      <c r="T13" s="13">
        <v>14867</v>
      </c>
      <c r="U13" s="674">
        <v>22287</v>
      </c>
      <c r="V13" s="11">
        <v>60135</v>
      </c>
      <c r="W13" s="29">
        <v>54886</v>
      </c>
      <c r="X13" s="13">
        <v>52730</v>
      </c>
      <c r="Y13" s="28">
        <v>49921</v>
      </c>
      <c r="Z13" s="11">
        <v>2770</v>
      </c>
      <c r="AA13" s="677">
        <v>2117</v>
      </c>
      <c r="AB13" s="11">
        <v>14202</v>
      </c>
      <c r="AC13" s="29">
        <v>12739</v>
      </c>
      <c r="AD13" s="13">
        <v>60773</v>
      </c>
      <c r="AE13" s="674">
        <v>66827</v>
      </c>
      <c r="AF13" s="11">
        <v>33335</v>
      </c>
      <c r="AG13" s="29">
        <v>28247</v>
      </c>
      <c r="AH13" s="11">
        <v>37118</v>
      </c>
      <c r="AI13" s="29">
        <v>31563</v>
      </c>
      <c r="AJ13" s="160">
        <v>54538</v>
      </c>
      <c r="AK13" s="161">
        <v>68194</v>
      </c>
      <c r="AL13" s="239"/>
      <c r="AM13" s="165"/>
      <c r="AN13" s="682">
        <v>9730</v>
      </c>
      <c r="AO13" s="683">
        <v>6645</v>
      </c>
      <c r="AP13" s="606">
        <v>48468</v>
      </c>
      <c r="AQ13" s="693">
        <v>56843</v>
      </c>
      <c r="AR13" s="15">
        <v>271</v>
      </c>
      <c r="AS13" s="34">
        <v>1397</v>
      </c>
      <c r="AT13" s="11">
        <v>11580</v>
      </c>
      <c r="AU13" s="28">
        <v>13808</v>
      </c>
      <c r="AV13" s="236"/>
      <c r="AW13" s="236"/>
      <c r="AX13" s="164"/>
      <c r="AY13" s="629">
        <v>36192</v>
      </c>
      <c r="AZ13" s="236"/>
      <c r="BA13" s="35"/>
    </row>
    <row r="14" spans="1:54" ht="15" x14ac:dyDescent="0.3">
      <c r="A14" s="24" t="s">
        <v>16</v>
      </c>
      <c r="B14" s="37">
        <v>418</v>
      </c>
      <c r="C14" s="7">
        <v>1560</v>
      </c>
      <c r="D14" s="11"/>
      <c r="E14" s="14"/>
      <c r="F14" s="13"/>
      <c r="G14" s="10"/>
      <c r="H14" s="11"/>
      <c r="I14" s="29">
        <v>7319</v>
      </c>
      <c r="J14" s="13">
        <v>53</v>
      </c>
      <c r="K14" s="10">
        <v>479</v>
      </c>
      <c r="L14" s="11">
        <v>7686</v>
      </c>
      <c r="M14" s="14">
        <v>14027</v>
      </c>
      <c r="N14" s="13"/>
      <c r="O14" s="10"/>
      <c r="P14" s="11"/>
      <c r="Q14" s="603"/>
      <c r="R14" s="11">
        <v>4466</v>
      </c>
      <c r="S14" s="29">
        <v>6764</v>
      </c>
      <c r="T14" s="13"/>
      <c r="U14" s="603"/>
      <c r="V14" s="11"/>
      <c r="W14" s="29"/>
      <c r="X14" s="13"/>
      <c r="Y14" s="28"/>
      <c r="Z14" s="11">
        <v>116</v>
      </c>
      <c r="AA14" s="677">
        <v>243</v>
      </c>
      <c r="AB14" s="11"/>
      <c r="AC14" s="29"/>
      <c r="AD14" s="13">
        <v>669</v>
      </c>
      <c r="AE14" s="674">
        <v>64</v>
      </c>
      <c r="AF14" s="11"/>
      <c r="AG14" s="29"/>
      <c r="AH14" s="11"/>
      <c r="AI14" s="29"/>
      <c r="AJ14" s="160"/>
      <c r="AK14" s="161"/>
      <c r="AL14" s="239"/>
      <c r="AM14" s="165"/>
      <c r="AN14" s="682"/>
      <c r="AO14" s="683"/>
      <c r="AP14" s="606"/>
      <c r="AQ14" s="693"/>
      <c r="AR14" s="15"/>
      <c r="AS14" s="34"/>
      <c r="AT14" s="11"/>
      <c r="AU14" s="28"/>
      <c r="AV14" s="236">
        <f t="shared" si="0"/>
        <v>13408</v>
      </c>
      <c r="AW14" s="236">
        <f t="shared" si="1"/>
        <v>30456</v>
      </c>
      <c r="AX14" s="164">
        <v>1281</v>
      </c>
      <c r="AY14" s="629"/>
      <c r="AZ14" s="236">
        <f t="shared" si="2"/>
        <v>14689</v>
      </c>
      <c r="BA14" s="35">
        <f t="shared" si="3"/>
        <v>30456</v>
      </c>
    </row>
    <row r="15" spans="1:54" ht="15" x14ac:dyDescent="0.3">
      <c r="A15" s="24" t="s">
        <v>17</v>
      </c>
      <c r="B15" s="37"/>
      <c r="C15" s="7"/>
      <c r="D15" s="11"/>
      <c r="E15" s="14">
        <v>3</v>
      </c>
      <c r="F15" s="13">
        <v>152</v>
      </c>
      <c r="G15" s="10">
        <v>93</v>
      </c>
      <c r="H15" s="11"/>
      <c r="I15" s="29"/>
      <c r="J15" s="13"/>
      <c r="K15" s="10"/>
      <c r="L15" s="11"/>
      <c r="M15" s="14"/>
      <c r="N15" s="13"/>
      <c r="O15" s="10"/>
      <c r="P15" s="11"/>
      <c r="Q15" s="603"/>
      <c r="R15" s="11"/>
      <c r="S15" s="29"/>
      <c r="T15" s="13">
        <v>217</v>
      </c>
      <c r="U15" s="603"/>
      <c r="V15" s="11">
        <v>177</v>
      </c>
      <c r="W15" s="29">
        <v>127</v>
      </c>
      <c r="X15" s="13">
        <v>816</v>
      </c>
      <c r="Y15" s="28">
        <v>574</v>
      </c>
      <c r="Z15" s="11"/>
      <c r="AA15" s="677"/>
      <c r="AB15" s="11"/>
      <c r="AC15" s="29"/>
      <c r="AD15" s="13"/>
      <c r="AE15" s="674">
        <v>3</v>
      </c>
      <c r="AF15" s="11">
        <v>2464</v>
      </c>
      <c r="AG15" s="29">
        <v>4813</v>
      </c>
      <c r="AH15" s="11">
        <v>2785</v>
      </c>
      <c r="AI15" s="29">
        <v>1233</v>
      </c>
      <c r="AJ15" s="160"/>
      <c r="AK15" s="161"/>
      <c r="AL15" s="239"/>
      <c r="AM15" s="165"/>
      <c r="AN15" s="682">
        <v>18</v>
      </c>
      <c r="AO15" s="683">
        <v>34</v>
      </c>
      <c r="AP15" s="606"/>
      <c r="AQ15" s="693"/>
      <c r="AR15" s="15"/>
      <c r="AS15" s="34"/>
      <c r="AT15" s="11"/>
      <c r="AU15" s="28"/>
      <c r="AV15" s="236">
        <f t="shared" si="0"/>
        <v>6629</v>
      </c>
      <c r="AW15" s="236">
        <f t="shared" si="1"/>
        <v>6880</v>
      </c>
      <c r="AX15" s="164">
        <v>10584</v>
      </c>
      <c r="AY15" s="629">
        <v>4877</v>
      </c>
      <c r="AZ15" s="236">
        <f t="shared" si="2"/>
        <v>17213</v>
      </c>
      <c r="BA15" s="35">
        <f t="shared" si="3"/>
        <v>11757</v>
      </c>
    </row>
    <row r="16" spans="1:54" ht="15" x14ac:dyDescent="0.3">
      <c r="A16" s="24" t="s">
        <v>18</v>
      </c>
      <c r="B16" s="37"/>
      <c r="C16" s="7"/>
      <c r="D16" s="11"/>
      <c r="E16" s="14"/>
      <c r="F16" s="13"/>
      <c r="G16" s="10"/>
      <c r="H16" s="11"/>
      <c r="I16" s="29">
        <v>3434</v>
      </c>
      <c r="J16" s="13"/>
      <c r="K16" s="10"/>
      <c r="L16" s="11"/>
      <c r="M16" s="14"/>
      <c r="N16" s="13"/>
      <c r="O16" s="10"/>
      <c r="P16" s="11"/>
      <c r="Q16" s="603"/>
      <c r="R16" s="11"/>
      <c r="S16" s="14"/>
      <c r="T16" s="13"/>
      <c r="U16" s="603"/>
      <c r="V16" s="11"/>
      <c r="W16" s="29"/>
      <c r="X16" s="13"/>
      <c r="Y16" s="28"/>
      <c r="Z16" s="11"/>
      <c r="AA16" s="677"/>
      <c r="AB16" s="11"/>
      <c r="AC16" s="29"/>
      <c r="AD16" s="13"/>
      <c r="AE16" s="674"/>
      <c r="AF16" s="11"/>
      <c r="AG16" s="29"/>
      <c r="AH16" s="11"/>
      <c r="AI16" s="29"/>
      <c r="AJ16" s="160"/>
      <c r="AK16" s="161"/>
      <c r="AL16" s="239"/>
      <c r="AM16" s="165"/>
      <c r="AN16" s="682"/>
      <c r="AO16" s="683"/>
      <c r="AP16" s="606"/>
      <c r="AQ16" s="693"/>
      <c r="AR16" s="15"/>
      <c r="AS16" s="34"/>
      <c r="AT16" s="11"/>
      <c r="AU16" s="28"/>
      <c r="AV16" s="236">
        <f t="shared" si="0"/>
        <v>0</v>
      </c>
      <c r="AW16" s="236">
        <f t="shared" si="1"/>
        <v>3434</v>
      </c>
      <c r="AX16" s="164"/>
      <c r="AY16" s="629"/>
      <c r="AZ16" s="236">
        <f t="shared" si="2"/>
        <v>0</v>
      </c>
      <c r="BA16" s="35">
        <f t="shared" si="3"/>
        <v>3434</v>
      </c>
    </row>
    <row r="17" spans="1:53" ht="15.75" thickBot="1" x14ac:dyDescent="0.35">
      <c r="A17" s="24" t="s">
        <v>19</v>
      </c>
      <c r="B17" s="418">
        <v>388</v>
      </c>
      <c r="C17" s="419">
        <v>235</v>
      </c>
      <c r="D17" s="423">
        <v>2223</v>
      </c>
      <c r="E17" s="422">
        <v>1842</v>
      </c>
      <c r="F17" s="420"/>
      <c r="G17" s="421"/>
      <c r="H17" s="423"/>
      <c r="I17" s="422">
        <v>28727</v>
      </c>
      <c r="J17" s="420">
        <v>34</v>
      </c>
      <c r="K17" s="421">
        <v>276</v>
      </c>
      <c r="L17" s="423">
        <v>869</v>
      </c>
      <c r="M17" s="422">
        <v>5330</v>
      </c>
      <c r="N17" s="420"/>
      <c r="O17" s="421">
        <v>1</v>
      </c>
      <c r="P17" s="423">
        <v>104</v>
      </c>
      <c r="Q17" s="675">
        <v>849</v>
      </c>
      <c r="R17" s="423"/>
      <c r="S17" s="422"/>
      <c r="T17" s="420"/>
      <c r="U17" s="675"/>
      <c r="V17" s="423">
        <v>423</v>
      </c>
      <c r="W17" s="29">
        <v>6033</v>
      </c>
      <c r="X17" s="420">
        <v>5593</v>
      </c>
      <c r="Y17" s="28">
        <v>10480</v>
      </c>
      <c r="Z17" s="423"/>
      <c r="AA17" s="677"/>
      <c r="AB17" s="423"/>
      <c r="AC17" s="29"/>
      <c r="AD17" s="420">
        <v>833</v>
      </c>
      <c r="AE17" s="674">
        <v>2111</v>
      </c>
      <c r="AF17" s="423">
        <v>17288</v>
      </c>
      <c r="AG17" s="29">
        <v>38924</v>
      </c>
      <c r="AH17" s="423">
        <v>7879</v>
      </c>
      <c r="AI17" s="29">
        <v>10333</v>
      </c>
      <c r="AJ17" s="163"/>
      <c r="AK17" s="161">
        <v>201</v>
      </c>
      <c r="AL17" s="424"/>
      <c r="AM17" s="411"/>
      <c r="AN17" s="686">
        <v>647</v>
      </c>
      <c r="AO17" s="687">
        <v>1152</v>
      </c>
      <c r="AP17" s="694">
        <v>-3</v>
      </c>
      <c r="AQ17" s="693">
        <v>76</v>
      </c>
      <c r="AR17" s="425"/>
      <c r="AS17" s="34"/>
      <c r="AT17" s="423">
        <v>14276</v>
      </c>
      <c r="AU17" s="28">
        <v>20689</v>
      </c>
      <c r="AV17" s="236">
        <f t="shared" si="0"/>
        <v>50554</v>
      </c>
      <c r="AW17" s="236">
        <f t="shared" si="1"/>
        <v>127259</v>
      </c>
      <c r="AX17" s="426"/>
      <c r="AY17" s="629"/>
      <c r="AZ17" s="630">
        <f t="shared" si="2"/>
        <v>50554</v>
      </c>
      <c r="BA17" s="427">
        <f t="shared" si="3"/>
        <v>127259</v>
      </c>
    </row>
    <row r="18" spans="1:53" s="273" customFormat="1" ht="15" thickBot="1" x14ac:dyDescent="0.35">
      <c r="A18" s="465" t="s">
        <v>20</v>
      </c>
      <c r="B18" s="428">
        <f>SUM(B5:B17)</f>
        <v>152555</v>
      </c>
      <c r="C18" s="428">
        <f t="shared" ref="C18:AH18" si="4">SUM(C5:C17)</f>
        <v>179078</v>
      </c>
      <c r="D18" s="428">
        <f t="shared" si="4"/>
        <v>6884</v>
      </c>
      <c r="E18" s="433">
        <f t="shared" si="4"/>
        <v>11892</v>
      </c>
      <c r="F18" s="432">
        <f t="shared" si="4"/>
        <v>13846</v>
      </c>
      <c r="G18" s="428">
        <f t="shared" si="4"/>
        <v>12922</v>
      </c>
      <c r="H18" s="428">
        <f t="shared" si="4"/>
        <v>0</v>
      </c>
      <c r="I18" s="433">
        <f t="shared" si="4"/>
        <v>289192</v>
      </c>
      <c r="J18" s="432">
        <f t="shared" si="4"/>
        <v>79440</v>
      </c>
      <c r="K18" s="428">
        <f t="shared" si="4"/>
        <v>76282</v>
      </c>
      <c r="L18" s="428">
        <f t="shared" si="4"/>
        <v>114729</v>
      </c>
      <c r="M18" s="433">
        <f t="shared" si="4"/>
        <v>118716</v>
      </c>
      <c r="N18" s="432">
        <f t="shared" si="4"/>
        <v>19897</v>
      </c>
      <c r="O18" s="428">
        <f t="shared" si="4"/>
        <v>20772</v>
      </c>
      <c r="P18" s="428">
        <f t="shared" si="4"/>
        <v>39680</v>
      </c>
      <c r="Q18" s="429">
        <f t="shared" si="4"/>
        <v>51837</v>
      </c>
      <c r="R18" s="428">
        <f t="shared" si="4"/>
        <v>83822</v>
      </c>
      <c r="S18" s="433">
        <f t="shared" si="4"/>
        <v>97264</v>
      </c>
      <c r="T18" s="432">
        <f t="shared" si="4"/>
        <v>24572</v>
      </c>
      <c r="U18" s="429">
        <f t="shared" si="4"/>
        <v>33697</v>
      </c>
      <c r="V18" s="428">
        <f t="shared" si="4"/>
        <v>639298</v>
      </c>
      <c r="W18" s="433">
        <f t="shared" si="4"/>
        <v>675515</v>
      </c>
      <c r="X18" s="432">
        <f t="shared" si="4"/>
        <v>451327</v>
      </c>
      <c r="Y18" s="428">
        <f t="shared" si="4"/>
        <v>439921</v>
      </c>
      <c r="Z18" s="428">
        <f t="shared" si="4"/>
        <v>29895</v>
      </c>
      <c r="AA18" s="429">
        <f t="shared" si="4"/>
        <v>26593</v>
      </c>
      <c r="AB18" s="428">
        <f t="shared" si="4"/>
        <v>180215</v>
      </c>
      <c r="AC18" s="433">
        <f t="shared" si="4"/>
        <v>128473</v>
      </c>
      <c r="AD18" s="432">
        <f t="shared" si="4"/>
        <v>200489</v>
      </c>
      <c r="AE18" s="429">
        <f t="shared" si="4"/>
        <v>211160</v>
      </c>
      <c r="AF18" s="428">
        <f t="shared" si="4"/>
        <v>411630</v>
      </c>
      <c r="AG18" s="433">
        <f t="shared" si="4"/>
        <v>430725</v>
      </c>
      <c r="AH18" s="428">
        <f t="shared" si="4"/>
        <v>172718</v>
      </c>
      <c r="AI18" s="433">
        <f t="shared" ref="AI18:AU18" si="5">SUM(AI5:AI17)</f>
        <v>164724</v>
      </c>
      <c r="AJ18" s="432">
        <f t="shared" si="5"/>
        <v>110639</v>
      </c>
      <c r="AK18" s="428">
        <f t="shared" si="5"/>
        <v>131758</v>
      </c>
      <c r="AL18" s="428">
        <f t="shared" si="5"/>
        <v>0</v>
      </c>
      <c r="AM18" s="488">
        <f t="shared" si="5"/>
        <v>0</v>
      </c>
      <c r="AN18" s="689">
        <f t="shared" si="5"/>
        <v>1310792</v>
      </c>
      <c r="AO18" s="690">
        <f t="shared" si="5"/>
        <v>1095566</v>
      </c>
      <c r="AP18" s="428">
        <f t="shared" si="5"/>
        <v>171181</v>
      </c>
      <c r="AQ18" s="433">
        <f t="shared" si="5"/>
        <v>179435</v>
      </c>
      <c r="AR18" s="432">
        <f t="shared" si="5"/>
        <v>89216</v>
      </c>
      <c r="AS18" s="428">
        <f t="shared" si="5"/>
        <v>63559</v>
      </c>
      <c r="AT18" s="428">
        <f t="shared" si="5"/>
        <v>342888</v>
      </c>
      <c r="AU18" s="428">
        <f t="shared" si="5"/>
        <v>303304</v>
      </c>
      <c r="AV18" s="434">
        <f t="shared" si="0"/>
        <v>4645713</v>
      </c>
      <c r="AW18" s="435">
        <f t="shared" si="1"/>
        <v>4742385</v>
      </c>
      <c r="AX18" s="737">
        <f>SUM(AX5:AX17)</f>
        <v>12648184</v>
      </c>
      <c r="AY18" s="738">
        <f>SUM(AY5:AY17)</f>
        <v>11532973</v>
      </c>
      <c r="AZ18" s="434">
        <f t="shared" si="2"/>
        <v>17293897</v>
      </c>
      <c r="BA18" s="438">
        <f t="shared" si="3"/>
        <v>16275358</v>
      </c>
    </row>
    <row r="19" spans="1:53" s="486" customFormat="1" ht="15" thickBot="1" x14ac:dyDescent="0.35">
      <c r="A19" s="467" t="s">
        <v>11</v>
      </c>
      <c r="B19" s="468"/>
      <c r="C19" s="469"/>
      <c r="D19" s="473"/>
      <c r="E19" s="472"/>
      <c r="F19" s="470"/>
      <c r="G19" s="471"/>
      <c r="H19" s="473"/>
      <c r="I19" s="472"/>
      <c r="J19" s="470"/>
      <c r="K19" s="471"/>
      <c r="L19" s="473"/>
      <c r="M19" s="472"/>
      <c r="N19" s="470">
        <v>-1</v>
      </c>
      <c r="O19" s="470"/>
      <c r="P19" s="477"/>
      <c r="Q19" s="676"/>
      <c r="R19" s="477">
        <v>1793</v>
      </c>
      <c r="S19" s="485">
        <v>2595</v>
      </c>
      <c r="T19" s="474"/>
      <c r="U19" s="676"/>
      <c r="V19" s="477"/>
      <c r="W19" s="476"/>
      <c r="X19" s="474"/>
      <c r="Y19" s="475"/>
      <c r="Z19" s="477"/>
      <c r="AA19" s="676"/>
      <c r="AB19" s="473"/>
      <c r="AC19" s="472"/>
      <c r="AD19" s="470">
        <v>52</v>
      </c>
      <c r="AE19" s="678">
        <v>320</v>
      </c>
      <c r="AF19" s="473"/>
      <c r="AG19" s="472"/>
      <c r="AH19" s="473"/>
      <c r="AI19" s="679">
        <v>-1</v>
      </c>
      <c r="AJ19" s="470"/>
      <c r="AK19" s="471"/>
      <c r="AL19" s="478"/>
      <c r="AM19" s="688"/>
      <c r="AN19" s="691"/>
      <c r="AO19" s="479"/>
      <c r="AP19" s="695"/>
      <c r="AQ19" s="480"/>
      <c r="AR19" s="481"/>
      <c r="AS19" s="482"/>
      <c r="AT19" s="473"/>
      <c r="AU19" s="471"/>
      <c r="AV19" s="477">
        <f t="shared" si="0"/>
        <v>1844</v>
      </c>
      <c r="AW19" s="477">
        <f t="shared" si="1"/>
        <v>2914</v>
      </c>
      <c r="AX19" s="484"/>
      <c r="AY19" s="483"/>
      <c r="AZ19" s="477">
        <f t="shared" si="2"/>
        <v>1844</v>
      </c>
      <c r="BA19" s="485">
        <f t="shared" si="3"/>
        <v>2914</v>
      </c>
    </row>
    <row r="20" spans="1:53" s="273" customFormat="1" ht="15" thickBot="1" x14ac:dyDescent="0.35">
      <c r="A20" s="465" t="s">
        <v>12</v>
      </c>
      <c r="B20" s="428">
        <f>B18+B19</f>
        <v>152555</v>
      </c>
      <c r="C20" s="428">
        <f t="shared" ref="C20:AH20" si="6">C18+C19</f>
        <v>179078</v>
      </c>
      <c r="D20" s="428">
        <f t="shared" si="6"/>
        <v>6884</v>
      </c>
      <c r="E20" s="433">
        <f t="shared" si="6"/>
        <v>11892</v>
      </c>
      <c r="F20" s="432">
        <f t="shared" si="6"/>
        <v>13846</v>
      </c>
      <c r="G20" s="428">
        <f t="shared" si="6"/>
        <v>12922</v>
      </c>
      <c r="H20" s="428">
        <f t="shared" si="6"/>
        <v>0</v>
      </c>
      <c r="I20" s="433">
        <f t="shared" si="6"/>
        <v>289192</v>
      </c>
      <c r="J20" s="432">
        <f t="shared" si="6"/>
        <v>79440</v>
      </c>
      <c r="K20" s="428">
        <f t="shared" si="6"/>
        <v>76282</v>
      </c>
      <c r="L20" s="428">
        <f t="shared" si="6"/>
        <v>114729</v>
      </c>
      <c r="M20" s="433">
        <f t="shared" si="6"/>
        <v>118716</v>
      </c>
      <c r="N20" s="432">
        <f t="shared" si="6"/>
        <v>19896</v>
      </c>
      <c r="O20" s="428">
        <f t="shared" si="6"/>
        <v>20772</v>
      </c>
      <c r="P20" s="428">
        <f t="shared" si="6"/>
        <v>39680</v>
      </c>
      <c r="Q20" s="429">
        <f t="shared" si="6"/>
        <v>51837</v>
      </c>
      <c r="R20" s="428">
        <f t="shared" si="6"/>
        <v>85615</v>
      </c>
      <c r="S20" s="433">
        <f t="shared" si="6"/>
        <v>99859</v>
      </c>
      <c r="T20" s="432">
        <f t="shared" si="6"/>
        <v>24572</v>
      </c>
      <c r="U20" s="429">
        <f t="shared" si="6"/>
        <v>33697</v>
      </c>
      <c r="V20" s="428">
        <f t="shared" si="6"/>
        <v>639298</v>
      </c>
      <c r="W20" s="433">
        <f t="shared" si="6"/>
        <v>675515</v>
      </c>
      <c r="X20" s="432">
        <f t="shared" si="6"/>
        <v>451327</v>
      </c>
      <c r="Y20" s="428">
        <f t="shared" si="6"/>
        <v>439921</v>
      </c>
      <c r="Z20" s="428">
        <f t="shared" si="6"/>
        <v>29895</v>
      </c>
      <c r="AA20" s="429">
        <f t="shared" si="6"/>
        <v>26593</v>
      </c>
      <c r="AB20" s="428">
        <f t="shared" si="6"/>
        <v>180215</v>
      </c>
      <c r="AC20" s="433">
        <f t="shared" si="6"/>
        <v>128473</v>
      </c>
      <c r="AD20" s="432">
        <f t="shared" si="6"/>
        <v>200541</v>
      </c>
      <c r="AE20" s="429">
        <f t="shared" si="6"/>
        <v>211480</v>
      </c>
      <c r="AF20" s="428">
        <f t="shared" si="6"/>
        <v>411630</v>
      </c>
      <c r="AG20" s="433">
        <f t="shared" si="6"/>
        <v>430725</v>
      </c>
      <c r="AH20" s="428">
        <f t="shared" si="6"/>
        <v>172718</v>
      </c>
      <c r="AI20" s="433">
        <f t="shared" ref="AI20:AU20" si="7">AI18+AI19</f>
        <v>164723</v>
      </c>
      <c r="AJ20" s="432">
        <f t="shared" si="7"/>
        <v>110639</v>
      </c>
      <c r="AK20" s="428">
        <f t="shared" si="7"/>
        <v>131758</v>
      </c>
      <c r="AL20" s="428">
        <f t="shared" si="7"/>
        <v>0</v>
      </c>
      <c r="AM20" s="488">
        <f t="shared" si="7"/>
        <v>0</v>
      </c>
      <c r="AN20" s="428">
        <f t="shared" si="7"/>
        <v>1310792</v>
      </c>
      <c r="AO20" s="431">
        <f t="shared" si="7"/>
        <v>1095566</v>
      </c>
      <c r="AP20" s="428">
        <f t="shared" si="7"/>
        <v>171181</v>
      </c>
      <c r="AQ20" s="433">
        <f t="shared" si="7"/>
        <v>179435</v>
      </c>
      <c r="AR20" s="432">
        <f t="shared" si="7"/>
        <v>89216</v>
      </c>
      <c r="AS20" s="428">
        <f t="shared" si="7"/>
        <v>63559</v>
      </c>
      <c r="AT20" s="428">
        <f t="shared" si="7"/>
        <v>342888</v>
      </c>
      <c r="AU20" s="428">
        <f t="shared" si="7"/>
        <v>303304</v>
      </c>
      <c r="AV20" s="434">
        <f t="shared" si="0"/>
        <v>4647557</v>
      </c>
      <c r="AW20" s="435">
        <f t="shared" si="1"/>
        <v>4745299</v>
      </c>
      <c r="AX20" s="434">
        <f>AX18+AX19</f>
        <v>12648184</v>
      </c>
      <c r="AY20" s="438">
        <f>AY18+AY19</f>
        <v>11532973</v>
      </c>
      <c r="AZ20" s="434">
        <f t="shared" si="2"/>
        <v>17295741</v>
      </c>
      <c r="BA20" s="438">
        <f t="shared" si="3"/>
        <v>16278272</v>
      </c>
    </row>
  </sheetData>
  <mergeCells count="29">
    <mergeCell ref="J3:K3"/>
    <mergeCell ref="L3:M3"/>
    <mergeCell ref="N3:O3"/>
    <mergeCell ref="AB3:AC3"/>
    <mergeCell ref="AD3:AE3"/>
    <mergeCell ref="AF3:AG3"/>
    <mergeCell ref="V3:W3"/>
    <mergeCell ref="X3:Y3"/>
    <mergeCell ref="Z3:AA3"/>
    <mergeCell ref="A1:AZ1"/>
    <mergeCell ref="A2:AZ2"/>
    <mergeCell ref="A3:A4"/>
    <mergeCell ref="B3:C3"/>
    <mergeCell ref="D3:E3"/>
    <mergeCell ref="F3:G3"/>
    <mergeCell ref="H3:I3"/>
    <mergeCell ref="P3:Q3"/>
    <mergeCell ref="R3:S3"/>
    <mergeCell ref="T3:U3"/>
    <mergeCell ref="AH3:AI3"/>
    <mergeCell ref="AJ3:AK3"/>
    <mergeCell ref="AL3:AM3"/>
    <mergeCell ref="AZ3:BA3"/>
    <mergeCell ref="AN3:AO3"/>
    <mergeCell ref="AP3:AQ3"/>
    <mergeCell ref="AR3:AS3"/>
    <mergeCell ref="AT3:AU3"/>
    <mergeCell ref="AV3:AW3"/>
    <mergeCell ref="AX3:AY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BA45"/>
  <sheetViews>
    <sheetView workbookViewId="0">
      <pane xSplit="1" topLeftCell="B1" activePane="topRight" state="frozen"/>
      <selection pane="topRight" activeCell="A2" sqref="A2:AZ2"/>
    </sheetView>
  </sheetViews>
  <sheetFormatPr defaultRowHeight="14.25" x14ac:dyDescent="0.3"/>
  <cols>
    <col min="1" max="1" width="25.140625" style="20" bestFit="1" customWidth="1"/>
    <col min="2" max="39" width="15" style="20" bestFit="1" customWidth="1"/>
    <col min="40" max="41" width="15" style="167" bestFit="1" customWidth="1"/>
    <col min="42" max="53" width="15" style="20" bestFit="1" customWidth="1"/>
    <col min="54" max="16384" width="9.140625" style="20"/>
  </cols>
  <sheetData>
    <row r="1" spans="1:53" x14ac:dyDescent="0.3">
      <c r="A1" s="1068" t="s">
        <v>109</v>
      </c>
      <c r="B1" s="1068"/>
      <c r="C1" s="1068"/>
      <c r="D1" s="1068"/>
      <c r="E1" s="1068"/>
      <c r="F1" s="1068"/>
      <c r="G1" s="1068"/>
      <c r="H1" s="1068"/>
      <c r="I1" s="1068"/>
      <c r="J1" s="1068"/>
      <c r="K1" s="1068"/>
      <c r="L1" s="1068"/>
      <c r="M1" s="1068"/>
      <c r="N1" s="1068"/>
      <c r="O1" s="1068"/>
      <c r="P1" s="1068"/>
      <c r="Q1" s="1068"/>
      <c r="R1" s="1068"/>
      <c r="S1" s="1068"/>
      <c r="T1" s="1068"/>
      <c r="U1" s="1068"/>
      <c r="V1" s="1068"/>
      <c r="W1" s="1068"/>
      <c r="X1" s="1068"/>
      <c r="Y1" s="1068"/>
      <c r="Z1" s="1068"/>
      <c r="AA1" s="1068"/>
      <c r="AB1" s="1068"/>
      <c r="AC1" s="1068"/>
      <c r="AD1" s="1068"/>
      <c r="AE1" s="1068"/>
      <c r="AF1" s="1068"/>
      <c r="AG1" s="1068"/>
      <c r="AH1" s="1068"/>
      <c r="AI1" s="1068"/>
      <c r="AJ1" s="1068"/>
      <c r="AK1" s="1068"/>
      <c r="AL1" s="1068"/>
      <c r="AM1" s="1068"/>
      <c r="AN1" s="1068"/>
      <c r="AO1" s="1068"/>
      <c r="AP1" s="1068"/>
      <c r="AQ1" s="1068"/>
      <c r="AR1" s="1068"/>
      <c r="AS1" s="1068"/>
      <c r="AT1" s="1068"/>
      <c r="AU1" s="1068"/>
      <c r="AV1" s="1068"/>
      <c r="AW1" s="1068"/>
      <c r="AX1" s="1068"/>
      <c r="AY1" s="1068"/>
      <c r="AZ1" s="1068"/>
    </row>
    <row r="2" spans="1:53" ht="16.5" thickBot="1" x14ac:dyDescent="0.4">
      <c r="A2" s="1069" t="s">
        <v>392</v>
      </c>
      <c r="B2" s="1069"/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1069"/>
      <c r="S2" s="1069"/>
      <c r="T2" s="1069"/>
      <c r="U2" s="1069"/>
      <c r="V2" s="1069"/>
      <c r="W2" s="1069"/>
      <c r="X2" s="1069"/>
      <c r="Y2" s="1069"/>
      <c r="Z2" s="1069"/>
      <c r="AA2" s="1069"/>
      <c r="AB2" s="1069"/>
      <c r="AC2" s="1069"/>
      <c r="AD2" s="1069"/>
      <c r="AE2" s="1069"/>
      <c r="AF2" s="1069"/>
      <c r="AG2" s="1069"/>
      <c r="AH2" s="1069"/>
      <c r="AI2" s="1069"/>
      <c r="AJ2" s="1069"/>
      <c r="AK2" s="1069"/>
      <c r="AL2" s="1069"/>
      <c r="AM2" s="1069"/>
      <c r="AN2" s="1069"/>
      <c r="AO2" s="1069"/>
      <c r="AP2" s="1069"/>
      <c r="AQ2" s="1069"/>
      <c r="AR2" s="1069"/>
      <c r="AS2" s="1069"/>
      <c r="AT2" s="1069"/>
      <c r="AU2" s="1069"/>
      <c r="AV2" s="1069"/>
      <c r="AW2" s="1069"/>
      <c r="AX2" s="1069"/>
      <c r="AY2" s="1069"/>
      <c r="AZ2" s="1069"/>
    </row>
    <row r="3" spans="1:53" ht="41.25" customHeight="1" thickBot="1" x14ac:dyDescent="0.35">
      <c r="A3" s="1070" t="s">
        <v>0</v>
      </c>
      <c r="B3" s="1072" t="s">
        <v>114</v>
      </c>
      <c r="C3" s="1073"/>
      <c r="D3" s="1074" t="s">
        <v>115</v>
      </c>
      <c r="E3" s="1075"/>
      <c r="F3" s="1067" t="s">
        <v>116</v>
      </c>
      <c r="G3" s="1067"/>
      <c r="H3" s="1081" t="s">
        <v>117</v>
      </c>
      <c r="I3" s="1082"/>
      <c r="J3" s="1067" t="s">
        <v>118</v>
      </c>
      <c r="K3" s="1067"/>
      <c r="L3" s="1074" t="s">
        <v>119</v>
      </c>
      <c r="M3" s="1075"/>
      <c r="N3" s="1067" t="s">
        <v>220</v>
      </c>
      <c r="O3" s="1067"/>
      <c r="P3" s="1074" t="s">
        <v>120</v>
      </c>
      <c r="Q3" s="1075"/>
      <c r="R3" s="1067" t="s">
        <v>121</v>
      </c>
      <c r="S3" s="1067"/>
      <c r="T3" s="1074" t="s">
        <v>122</v>
      </c>
      <c r="U3" s="1075"/>
      <c r="V3" s="1067" t="s">
        <v>123</v>
      </c>
      <c r="W3" s="1067"/>
      <c r="X3" s="1074" t="s">
        <v>124</v>
      </c>
      <c r="Y3" s="1075"/>
      <c r="Z3" s="1063" t="s">
        <v>226</v>
      </c>
      <c r="AA3" s="1063"/>
      <c r="AB3" s="1064" t="s">
        <v>125</v>
      </c>
      <c r="AC3" s="1065"/>
      <c r="AD3" s="1078" t="s">
        <v>126</v>
      </c>
      <c r="AE3" s="1078"/>
      <c r="AF3" s="1074" t="s">
        <v>127</v>
      </c>
      <c r="AG3" s="1075"/>
      <c r="AH3" s="1067" t="s">
        <v>128</v>
      </c>
      <c r="AI3" s="1067"/>
      <c r="AJ3" s="1074" t="s">
        <v>129</v>
      </c>
      <c r="AK3" s="1075"/>
      <c r="AL3" s="1078" t="s">
        <v>130</v>
      </c>
      <c r="AM3" s="1078"/>
      <c r="AN3" s="1083" t="s">
        <v>131</v>
      </c>
      <c r="AO3" s="1084"/>
      <c r="AP3" s="1074" t="s">
        <v>132</v>
      </c>
      <c r="AQ3" s="1075"/>
      <c r="AR3" s="1067" t="s">
        <v>133</v>
      </c>
      <c r="AS3" s="1067"/>
      <c r="AT3" s="1064" t="s">
        <v>134</v>
      </c>
      <c r="AU3" s="1065"/>
      <c r="AV3" s="1066" t="s">
        <v>1</v>
      </c>
      <c r="AW3" s="1066"/>
      <c r="AX3" s="1076" t="s">
        <v>135</v>
      </c>
      <c r="AY3" s="1077"/>
      <c r="AZ3" s="1079" t="s">
        <v>2</v>
      </c>
      <c r="BA3" s="1080"/>
    </row>
    <row r="4" spans="1:53" s="336" customFormat="1" ht="15" customHeight="1" thickBot="1" x14ac:dyDescent="0.35">
      <c r="A4" s="1071"/>
      <c r="B4" s="343" t="s">
        <v>329</v>
      </c>
      <c r="C4" s="345" t="s">
        <v>223</v>
      </c>
      <c r="D4" s="343" t="s">
        <v>329</v>
      </c>
      <c r="E4" s="345" t="s">
        <v>223</v>
      </c>
      <c r="F4" s="343" t="s">
        <v>329</v>
      </c>
      <c r="G4" s="345" t="s">
        <v>223</v>
      </c>
      <c r="H4" s="343" t="s">
        <v>329</v>
      </c>
      <c r="I4" s="345" t="s">
        <v>223</v>
      </c>
      <c r="J4" s="343" t="s">
        <v>329</v>
      </c>
      <c r="K4" s="345" t="s">
        <v>223</v>
      </c>
      <c r="L4" s="343" t="s">
        <v>329</v>
      </c>
      <c r="M4" s="345" t="s">
        <v>223</v>
      </c>
      <c r="N4" s="343" t="s">
        <v>329</v>
      </c>
      <c r="O4" s="345" t="s">
        <v>223</v>
      </c>
      <c r="P4" s="343" t="s">
        <v>329</v>
      </c>
      <c r="Q4" s="345" t="s">
        <v>223</v>
      </c>
      <c r="R4" s="343" t="s">
        <v>329</v>
      </c>
      <c r="S4" s="345" t="s">
        <v>223</v>
      </c>
      <c r="T4" s="343" t="s">
        <v>329</v>
      </c>
      <c r="U4" s="345" t="s">
        <v>223</v>
      </c>
      <c r="V4" s="343" t="s">
        <v>329</v>
      </c>
      <c r="W4" s="345" t="s">
        <v>223</v>
      </c>
      <c r="X4" s="343" t="s">
        <v>329</v>
      </c>
      <c r="Y4" s="345" t="s">
        <v>223</v>
      </c>
      <c r="Z4" s="343" t="s">
        <v>329</v>
      </c>
      <c r="AA4" s="345" t="s">
        <v>223</v>
      </c>
      <c r="AB4" s="343" t="s">
        <v>329</v>
      </c>
      <c r="AC4" s="345" t="s">
        <v>223</v>
      </c>
      <c r="AD4" s="343" t="s">
        <v>329</v>
      </c>
      <c r="AE4" s="345" t="s">
        <v>223</v>
      </c>
      <c r="AF4" s="343" t="s">
        <v>329</v>
      </c>
      <c r="AG4" s="345" t="s">
        <v>223</v>
      </c>
      <c r="AH4" s="343" t="s">
        <v>329</v>
      </c>
      <c r="AI4" s="345" t="s">
        <v>223</v>
      </c>
      <c r="AJ4" s="343" t="s">
        <v>329</v>
      </c>
      <c r="AK4" s="345" t="s">
        <v>223</v>
      </c>
      <c r="AL4" s="343" t="s">
        <v>329</v>
      </c>
      <c r="AM4" s="345" t="s">
        <v>223</v>
      </c>
      <c r="AN4" s="343" t="s">
        <v>329</v>
      </c>
      <c r="AO4" s="345" t="s">
        <v>223</v>
      </c>
      <c r="AP4" s="343" t="s">
        <v>329</v>
      </c>
      <c r="AQ4" s="345" t="s">
        <v>223</v>
      </c>
      <c r="AR4" s="343" t="s">
        <v>329</v>
      </c>
      <c r="AS4" s="345" t="s">
        <v>223</v>
      </c>
      <c r="AT4" s="343" t="s">
        <v>329</v>
      </c>
      <c r="AU4" s="345" t="s">
        <v>223</v>
      </c>
      <c r="AV4" s="343" t="s">
        <v>329</v>
      </c>
      <c r="AW4" s="345" t="s">
        <v>223</v>
      </c>
      <c r="AX4" s="343" t="s">
        <v>329</v>
      </c>
      <c r="AY4" s="345" t="s">
        <v>223</v>
      </c>
      <c r="AZ4" s="343" t="s">
        <v>329</v>
      </c>
      <c r="BA4" s="345" t="s">
        <v>223</v>
      </c>
    </row>
    <row r="5" spans="1:53" ht="28.5" x14ac:dyDescent="0.3">
      <c r="A5" s="523" t="s">
        <v>75</v>
      </c>
      <c r="B5" s="341">
        <v>12823</v>
      </c>
      <c r="C5" s="341">
        <v>12111.69</v>
      </c>
      <c r="D5" s="341"/>
      <c r="E5" s="341"/>
      <c r="F5" s="341"/>
      <c r="G5" s="464"/>
      <c r="H5" s="341">
        <v>24201</v>
      </c>
      <c r="I5" s="341">
        <v>27290.05</v>
      </c>
      <c r="J5" s="341">
        <v>-26771</v>
      </c>
      <c r="K5" s="341">
        <v>-13995.24</v>
      </c>
      <c r="L5" s="341"/>
      <c r="M5" s="341"/>
      <c r="N5" s="341">
        <v>2237</v>
      </c>
      <c r="O5" s="341">
        <v>14147.22</v>
      </c>
      <c r="P5" s="341"/>
      <c r="Q5" s="341"/>
      <c r="R5" s="341"/>
      <c r="S5" s="341"/>
      <c r="T5" s="341"/>
      <c r="U5" s="341"/>
      <c r="V5" s="30">
        <v>50932</v>
      </c>
      <c r="W5" s="30">
        <v>70430.92</v>
      </c>
      <c r="X5" s="341">
        <v>109212</v>
      </c>
      <c r="Y5" s="341">
        <v>150929.1</v>
      </c>
      <c r="Z5" s="341"/>
      <c r="AA5" s="341"/>
      <c r="AB5" s="341">
        <v>9968</v>
      </c>
      <c r="AC5" s="341">
        <v>4735.01</v>
      </c>
      <c r="AD5" s="341"/>
      <c r="AE5" s="341"/>
      <c r="AF5" s="341">
        <v>18881</v>
      </c>
      <c r="AG5" s="341">
        <v>31536.58</v>
      </c>
      <c r="AH5" s="341">
        <v>3370</v>
      </c>
      <c r="AI5" s="341">
        <v>4761.87</v>
      </c>
      <c r="AJ5" s="341"/>
      <c r="AK5" s="341"/>
      <c r="AL5" s="341"/>
      <c r="AM5" s="464"/>
      <c r="AN5" s="810">
        <v>26129</v>
      </c>
      <c r="AO5" s="810">
        <v>46125.23</v>
      </c>
      <c r="AP5" s="341"/>
      <c r="AQ5" s="341"/>
      <c r="AR5" s="341">
        <v>10581</v>
      </c>
      <c r="AS5" s="341">
        <v>4747.46</v>
      </c>
      <c r="AT5" s="341">
        <v>2871</v>
      </c>
      <c r="AU5" s="341">
        <v>1939.33</v>
      </c>
      <c r="AV5" s="341">
        <f t="shared" ref="AV5:AW25" si="0">SUM(B5+D5+F5+H5+J5+L5+N5+P5+R5+T5+V5+X5+Z5+AB5+AD5+AF5+AH5+AJ5+AL5+AN5+AP5+AR5+AT5)</f>
        <v>244434</v>
      </c>
      <c r="AW5" s="341">
        <f t="shared" si="0"/>
        <v>354759.22000000003</v>
      </c>
      <c r="AX5" s="341">
        <v>159401</v>
      </c>
      <c r="AY5" s="341"/>
      <c r="AZ5" s="341">
        <f t="shared" ref="AZ5:BA25" si="1">AV5+AX5</f>
        <v>403835</v>
      </c>
      <c r="BA5" s="342">
        <f t="shared" si="1"/>
        <v>354759.22000000003</v>
      </c>
    </row>
    <row r="6" spans="1:53" x14ac:dyDescent="0.3">
      <c r="A6" s="524" t="s">
        <v>76</v>
      </c>
      <c r="B6" s="37"/>
      <c r="C6" s="37"/>
      <c r="D6" s="11"/>
      <c r="E6" s="11"/>
      <c r="F6" s="11"/>
      <c r="G6" s="603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229"/>
      <c r="AA6" s="229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610"/>
      <c r="AM6" s="464"/>
      <c r="AN6" s="610"/>
      <c r="AO6" s="610"/>
      <c r="AP6" s="11"/>
      <c r="AQ6" s="11"/>
      <c r="AR6" s="164"/>
      <c r="AS6" s="164"/>
      <c r="AT6" s="11"/>
      <c r="AU6" s="11"/>
      <c r="AV6" s="8">
        <f t="shared" si="0"/>
        <v>0</v>
      </c>
      <c r="AW6" s="8">
        <f t="shared" si="0"/>
        <v>0</v>
      </c>
      <c r="AX6" s="164"/>
      <c r="AY6" s="164"/>
      <c r="AZ6" s="8">
        <f t="shared" si="1"/>
        <v>0</v>
      </c>
      <c r="BA6" s="809">
        <f t="shared" si="1"/>
        <v>0</v>
      </c>
    </row>
    <row r="7" spans="1:53" ht="28.5" x14ac:dyDescent="0.3">
      <c r="A7" s="524" t="s">
        <v>77</v>
      </c>
      <c r="B7" s="37">
        <v>14223</v>
      </c>
      <c r="C7" s="37">
        <v>13582</v>
      </c>
      <c r="D7" s="11">
        <v>97</v>
      </c>
      <c r="E7" s="11">
        <v>300.97000000000003</v>
      </c>
      <c r="F7" s="11">
        <v>3055</v>
      </c>
      <c r="G7" s="603">
        <v>3361</v>
      </c>
      <c r="H7" s="11">
        <v>42299</v>
      </c>
      <c r="I7" s="11">
        <v>37015.78</v>
      </c>
      <c r="J7" s="11">
        <v>2844</v>
      </c>
      <c r="K7" s="11">
        <v>2062</v>
      </c>
      <c r="L7" s="11">
        <v>5711</v>
      </c>
      <c r="M7" s="11">
        <v>6237.91</v>
      </c>
      <c r="N7" s="11">
        <v>3515</v>
      </c>
      <c r="O7" s="11">
        <v>3349.27</v>
      </c>
      <c r="P7" s="11">
        <v>682</v>
      </c>
      <c r="Q7" s="11">
        <v>1973.02</v>
      </c>
      <c r="R7" s="11">
        <v>6056</v>
      </c>
      <c r="S7" s="11">
        <v>5684</v>
      </c>
      <c r="T7" s="11">
        <v>644</v>
      </c>
      <c r="U7" s="11">
        <v>1390.16</v>
      </c>
      <c r="V7" s="11">
        <v>36738</v>
      </c>
      <c r="W7" s="11">
        <v>31655.25</v>
      </c>
      <c r="X7" s="11">
        <v>37641</v>
      </c>
      <c r="Y7" s="11">
        <v>34620.080000000002</v>
      </c>
      <c r="Z7" s="38">
        <v>3626</v>
      </c>
      <c r="AA7" s="38">
        <v>3179.7</v>
      </c>
      <c r="AB7" s="11">
        <v>3563</v>
      </c>
      <c r="AC7" s="11">
        <v>3866.51</v>
      </c>
      <c r="AD7" s="11">
        <v>20382</v>
      </c>
      <c r="AE7" s="11">
        <v>18126.87</v>
      </c>
      <c r="AF7" s="11">
        <v>16287</v>
      </c>
      <c r="AG7" s="11">
        <v>15033</v>
      </c>
      <c r="AH7" s="11">
        <v>7444</v>
      </c>
      <c r="AI7" s="11">
        <v>7600.1</v>
      </c>
      <c r="AJ7" s="11">
        <v>6707</v>
      </c>
      <c r="AK7" s="11">
        <v>6168.9</v>
      </c>
      <c r="AL7" s="610"/>
      <c r="AM7" s="464"/>
      <c r="AN7" s="811">
        <v>42139</v>
      </c>
      <c r="AO7" s="811">
        <v>37896</v>
      </c>
      <c r="AP7" s="11">
        <v>3016</v>
      </c>
      <c r="AQ7" s="11">
        <v>2289.41</v>
      </c>
      <c r="AR7" s="164">
        <v>3234</v>
      </c>
      <c r="AS7" s="164">
        <v>2953</v>
      </c>
      <c r="AT7" s="11">
        <v>10452</v>
      </c>
      <c r="AU7" s="11">
        <v>9897.44</v>
      </c>
      <c r="AV7" s="8">
        <f t="shared" si="0"/>
        <v>270355</v>
      </c>
      <c r="AW7" s="8">
        <f t="shared" si="0"/>
        <v>248242.37000000002</v>
      </c>
      <c r="AX7" s="164">
        <v>9747</v>
      </c>
      <c r="AY7" s="164">
        <v>1358.39</v>
      </c>
      <c r="AZ7" s="8">
        <f t="shared" si="1"/>
        <v>280102</v>
      </c>
      <c r="BA7" s="809">
        <f t="shared" si="1"/>
        <v>249600.76000000004</v>
      </c>
    </row>
    <row r="8" spans="1:53" ht="28.5" x14ac:dyDescent="0.3">
      <c r="A8" s="524" t="s">
        <v>78</v>
      </c>
      <c r="B8" s="37">
        <v>592</v>
      </c>
      <c r="C8" s="37">
        <v>299.45999999999998</v>
      </c>
      <c r="D8" s="11">
        <v>69</v>
      </c>
      <c r="E8" s="11">
        <v>6.29</v>
      </c>
      <c r="F8" s="11">
        <v>300</v>
      </c>
      <c r="G8" s="603">
        <v>602</v>
      </c>
      <c r="H8" s="11">
        <v>22259</v>
      </c>
      <c r="I8" s="11">
        <v>27052.03</v>
      </c>
      <c r="J8" s="11">
        <v>1586</v>
      </c>
      <c r="K8" s="11">
        <v>1132.72</v>
      </c>
      <c r="L8" s="11">
        <v>916</v>
      </c>
      <c r="M8" s="11">
        <v>1896.63</v>
      </c>
      <c r="N8" s="11">
        <v>606</v>
      </c>
      <c r="O8" s="11">
        <v>1111.32</v>
      </c>
      <c r="P8" s="11">
        <v>485</v>
      </c>
      <c r="Q8" s="11">
        <v>1019.27</v>
      </c>
      <c r="R8" s="11">
        <v>666</v>
      </c>
      <c r="S8" s="11">
        <v>2063.58</v>
      </c>
      <c r="T8" s="11">
        <v>509</v>
      </c>
      <c r="U8" s="11">
        <v>568.03</v>
      </c>
      <c r="V8" s="11">
        <v>28087</v>
      </c>
      <c r="W8" s="11">
        <v>5989.18</v>
      </c>
      <c r="X8" s="11">
        <v>48431</v>
      </c>
      <c r="Y8" s="11">
        <v>28744.11</v>
      </c>
      <c r="Z8" s="38">
        <v>225</v>
      </c>
      <c r="AA8" s="38">
        <v>163.95</v>
      </c>
      <c r="AB8" s="11">
        <v>392</v>
      </c>
      <c r="AC8" s="11">
        <v>207.29</v>
      </c>
      <c r="AD8" s="11"/>
      <c r="AE8" s="11">
        <v>252.5</v>
      </c>
      <c r="AF8" s="11">
        <v>9322</v>
      </c>
      <c r="AG8" s="11">
        <v>1756.41</v>
      </c>
      <c r="AH8" s="11">
        <v>1823</v>
      </c>
      <c r="AI8" s="11">
        <v>344.1</v>
      </c>
      <c r="AJ8" s="11">
        <v>2110</v>
      </c>
      <c r="AK8" s="11">
        <v>2477.4899999999998</v>
      </c>
      <c r="AL8" s="610"/>
      <c r="AM8" s="464"/>
      <c r="AN8" s="811">
        <v>31302</v>
      </c>
      <c r="AO8" s="811">
        <v>12795.42</v>
      </c>
      <c r="AP8" s="11">
        <v>3033</v>
      </c>
      <c r="AQ8" s="11">
        <v>1734.68</v>
      </c>
      <c r="AR8" s="164">
        <v>429</v>
      </c>
      <c r="AS8" s="164">
        <v>1562.57</v>
      </c>
      <c r="AT8" s="11">
        <v>398</v>
      </c>
      <c r="AU8" s="11">
        <v>543.74</v>
      </c>
      <c r="AV8" s="8">
        <f t="shared" si="0"/>
        <v>153540</v>
      </c>
      <c r="AW8" s="8">
        <f t="shared" si="0"/>
        <v>92322.77</v>
      </c>
      <c r="AX8" s="164">
        <v>2267</v>
      </c>
      <c r="AY8" s="164">
        <v>320.68</v>
      </c>
      <c r="AZ8" s="8">
        <f t="shared" si="1"/>
        <v>155807</v>
      </c>
      <c r="BA8" s="809">
        <f t="shared" si="1"/>
        <v>92643.45</v>
      </c>
    </row>
    <row r="9" spans="1:53" ht="28.5" x14ac:dyDescent="0.3">
      <c r="A9" s="524" t="s">
        <v>79</v>
      </c>
      <c r="B9" s="37">
        <v>-74</v>
      </c>
      <c r="C9" s="37">
        <v>-5.7</v>
      </c>
      <c r="D9" s="11"/>
      <c r="E9" s="11"/>
      <c r="F9" s="11">
        <v>-56</v>
      </c>
      <c r="G9" s="603">
        <v>-495</v>
      </c>
      <c r="H9" s="11">
        <v>-5951</v>
      </c>
      <c r="I9" s="11">
        <v>-9952.6200000000008</v>
      </c>
      <c r="J9" s="11">
        <v>-428</v>
      </c>
      <c r="K9" s="11">
        <v>-727.88</v>
      </c>
      <c r="L9" s="11"/>
      <c r="M9" s="11"/>
      <c r="N9" s="11">
        <v>-107</v>
      </c>
      <c r="O9" s="11">
        <v>-211.89</v>
      </c>
      <c r="P9" s="11">
        <v>-136</v>
      </c>
      <c r="Q9" s="11">
        <v>-410.2</v>
      </c>
      <c r="R9" s="11"/>
      <c r="S9" s="11"/>
      <c r="T9" s="11">
        <v>-15</v>
      </c>
      <c r="U9" s="11">
        <v>-250.46</v>
      </c>
      <c r="V9" s="11">
        <v>-639</v>
      </c>
      <c r="W9" s="11">
        <v>-17</v>
      </c>
      <c r="X9" s="11">
        <v>-496</v>
      </c>
      <c r="Y9" s="11">
        <v>-12155.22</v>
      </c>
      <c r="Z9" s="38"/>
      <c r="AA9" s="38">
        <v>-60.58</v>
      </c>
      <c r="AB9" s="11">
        <v>-58</v>
      </c>
      <c r="AC9" s="11">
        <v>-0.63</v>
      </c>
      <c r="AD9" s="11">
        <v>-164</v>
      </c>
      <c r="AE9" s="11"/>
      <c r="AF9" s="11">
        <v>-425</v>
      </c>
      <c r="AG9" s="11">
        <v>-39.51</v>
      </c>
      <c r="AH9" s="11"/>
      <c r="AI9" s="11">
        <v>-91.6</v>
      </c>
      <c r="AJ9" s="11">
        <v>-194</v>
      </c>
      <c r="AK9" s="11">
        <v>-886.78</v>
      </c>
      <c r="AL9" s="610"/>
      <c r="AM9" s="464"/>
      <c r="AN9" s="811">
        <v>-465</v>
      </c>
      <c r="AO9" s="811">
        <v>-5400.85</v>
      </c>
      <c r="AP9" s="11">
        <v>-215</v>
      </c>
      <c r="AQ9" s="11">
        <v>-1434.96</v>
      </c>
      <c r="AR9" s="164">
        <v>-3</v>
      </c>
      <c r="AS9" s="164">
        <v>-74.14</v>
      </c>
      <c r="AT9" s="11">
        <v>-81</v>
      </c>
      <c r="AU9" s="11">
        <v>-33.78</v>
      </c>
      <c r="AV9" s="8">
        <f t="shared" si="0"/>
        <v>-9507</v>
      </c>
      <c r="AW9" s="8">
        <f t="shared" si="0"/>
        <v>-32248.799999999996</v>
      </c>
      <c r="AX9" s="164">
        <v>-55</v>
      </c>
      <c r="AY9" s="164">
        <v>-556.49</v>
      </c>
      <c r="AZ9" s="8">
        <f t="shared" si="1"/>
        <v>-9562</v>
      </c>
      <c r="BA9" s="809">
        <f t="shared" si="1"/>
        <v>-32805.289999999994</v>
      </c>
    </row>
    <row r="10" spans="1:53" ht="42.75" x14ac:dyDescent="0.3">
      <c r="A10" s="524" t="s">
        <v>80</v>
      </c>
      <c r="B10" s="8">
        <v>792</v>
      </c>
      <c r="C10" s="8">
        <v>393</v>
      </c>
      <c r="D10" s="17">
        <v>77</v>
      </c>
      <c r="E10" s="17">
        <v>91.22</v>
      </c>
      <c r="F10" s="17"/>
      <c r="G10" s="603"/>
      <c r="H10" s="17">
        <v>-2000</v>
      </c>
      <c r="I10" s="17">
        <v>-876.03</v>
      </c>
      <c r="J10" s="17">
        <v>-15</v>
      </c>
      <c r="K10" s="17">
        <v>-53</v>
      </c>
      <c r="L10" s="17">
        <v>255</v>
      </c>
      <c r="M10" s="17"/>
      <c r="N10" s="17">
        <v>-239</v>
      </c>
      <c r="O10" s="17">
        <v>-221.68</v>
      </c>
      <c r="P10" s="17"/>
      <c r="Q10" s="17"/>
      <c r="R10" s="17">
        <v>-401</v>
      </c>
      <c r="S10" s="17">
        <v>-254</v>
      </c>
      <c r="T10" s="17">
        <v>33</v>
      </c>
      <c r="U10" s="17"/>
      <c r="V10" s="17"/>
      <c r="W10" s="17"/>
      <c r="X10" s="17">
        <v>-881</v>
      </c>
      <c r="Y10" s="17">
        <v>-96.13</v>
      </c>
      <c r="Z10" s="38">
        <v>187</v>
      </c>
      <c r="AA10" s="38">
        <v>288.68</v>
      </c>
      <c r="AB10" s="17">
        <v>-27</v>
      </c>
      <c r="AC10" s="17">
        <v>-95.37</v>
      </c>
      <c r="AD10" s="613">
        <v>-133</v>
      </c>
      <c r="AE10" s="613"/>
      <c r="AF10" s="17">
        <v>292</v>
      </c>
      <c r="AG10" s="17">
        <v>697</v>
      </c>
      <c r="AH10" s="17">
        <v>-7</v>
      </c>
      <c r="AI10" s="17">
        <v>-209.22</v>
      </c>
      <c r="AJ10" s="17">
        <v>-269</v>
      </c>
      <c r="AK10" s="17">
        <v>-199.73</v>
      </c>
      <c r="AL10" s="610"/>
      <c r="AM10" s="464"/>
      <c r="AN10" s="811">
        <v>1507</v>
      </c>
      <c r="AO10" s="811">
        <v>821</v>
      </c>
      <c r="AP10" s="11">
        <v>41.72</v>
      </c>
      <c r="AQ10" s="11">
        <v>-41.55</v>
      </c>
      <c r="AR10" s="164">
        <v>-36</v>
      </c>
      <c r="AS10" s="164">
        <v>-53</v>
      </c>
      <c r="AT10" s="17">
        <v>1370</v>
      </c>
      <c r="AU10" s="17">
        <v>1282.53</v>
      </c>
      <c r="AV10" s="8">
        <f t="shared" si="0"/>
        <v>546.72</v>
      </c>
      <c r="AW10" s="8">
        <f t="shared" si="0"/>
        <v>1473.7199999999998</v>
      </c>
      <c r="AX10" s="17"/>
      <c r="AY10" s="17"/>
      <c r="AZ10" s="8">
        <f t="shared" si="1"/>
        <v>546.72</v>
      </c>
      <c r="BA10" s="809">
        <f t="shared" si="1"/>
        <v>1473.7199999999998</v>
      </c>
    </row>
    <row r="11" spans="1:53" ht="42.75" x14ac:dyDescent="0.3">
      <c r="A11" s="524" t="s">
        <v>216</v>
      </c>
      <c r="B11" s="8"/>
      <c r="C11" s="8"/>
      <c r="D11" s="17"/>
      <c r="E11" s="17"/>
      <c r="F11" s="17"/>
      <c r="G11" s="603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38"/>
      <c r="AA11" s="38"/>
      <c r="AB11" s="17"/>
      <c r="AC11" s="17"/>
      <c r="AD11" s="613"/>
      <c r="AE11" s="613"/>
      <c r="AF11" s="17"/>
      <c r="AG11" s="17"/>
      <c r="AH11" s="17"/>
      <c r="AI11" s="17"/>
      <c r="AJ11" s="17"/>
      <c r="AK11" s="17"/>
      <c r="AL11" s="610"/>
      <c r="AM11" s="464"/>
      <c r="AN11" s="811"/>
      <c r="AO11" s="811"/>
      <c r="AP11" s="11"/>
      <c r="AQ11" s="11"/>
      <c r="AR11" s="164"/>
      <c r="AS11" s="164"/>
      <c r="AT11" s="17"/>
      <c r="AU11" s="17"/>
      <c r="AV11" s="8"/>
      <c r="AW11" s="8"/>
      <c r="AX11" s="17"/>
      <c r="AY11" s="17"/>
      <c r="AZ11" s="8"/>
      <c r="BA11" s="809"/>
    </row>
    <row r="12" spans="1:53" x14ac:dyDescent="0.3">
      <c r="A12" s="524" t="s">
        <v>81</v>
      </c>
      <c r="B12" s="37"/>
      <c r="C12" s="37"/>
      <c r="D12" s="11"/>
      <c r="E12" s="11">
        <v>92.6</v>
      </c>
      <c r="F12" s="11"/>
      <c r="G12" s="603"/>
      <c r="H12" s="11"/>
      <c r="I12" s="11"/>
      <c r="J12" s="11"/>
      <c r="K12" s="11">
        <v>200</v>
      </c>
      <c r="L12" s="11"/>
      <c r="M12" s="11">
        <v>6.72</v>
      </c>
      <c r="N12" s="11"/>
      <c r="O12" s="11"/>
      <c r="P12" s="11">
        <v>39</v>
      </c>
      <c r="Q12" s="11">
        <v>41.79</v>
      </c>
      <c r="R12" s="11"/>
      <c r="S12" s="11"/>
      <c r="T12" s="11"/>
      <c r="U12" s="11"/>
      <c r="V12" s="11"/>
      <c r="W12" s="11"/>
      <c r="X12" s="11">
        <v>915</v>
      </c>
      <c r="Y12" s="11">
        <v>116.67</v>
      </c>
      <c r="Z12" s="11">
        <v>140</v>
      </c>
      <c r="AA12" s="11">
        <f>54</f>
        <v>54</v>
      </c>
      <c r="AB12" s="11">
        <v>519</v>
      </c>
      <c r="AC12" s="11">
        <v>746.64</v>
      </c>
      <c r="AD12" s="11"/>
      <c r="AE12" s="11"/>
      <c r="AF12" s="11">
        <v>205</v>
      </c>
      <c r="AG12" s="11">
        <v>1242</v>
      </c>
      <c r="AH12" s="11"/>
      <c r="AI12" s="11"/>
      <c r="AJ12" s="11"/>
      <c r="AK12" s="11"/>
      <c r="AL12" s="610"/>
      <c r="AM12" s="464"/>
      <c r="AN12" s="811">
        <v>531</v>
      </c>
      <c r="AO12" s="811">
        <v>476</v>
      </c>
      <c r="AP12" s="11"/>
      <c r="AQ12" s="11">
        <v>53.9</v>
      </c>
      <c r="AR12" s="164"/>
      <c r="AS12" s="164">
        <v>5.97</v>
      </c>
      <c r="AT12" s="11"/>
      <c r="AU12" s="11"/>
      <c r="AV12" s="8">
        <f t="shared" si="0"/>
        <v>2349</v>
      </c>
      <c r="AW12" s="8">
        <f t="shared" si="0"/>
        <v>3036.29</v>
      </c>
      <c r="AX12" s="164"/>
      <c r="AY12" s="164"/>
      <c r="AZ12" s="8">
        <f t="shared" si="1"/>
        <v>2349</v>
      </c>
      <c r="BA12" s="809">
        <f t="shared" si="1"/>
        <v>3036.29</v>
      </c>
    </row>
    <row r="13" spans="1:53" s="559" customFormat="1" x14ac:dyDescent="0.3">
      <c r="A13" s="556" t="s">
        <v>213</v>
      </c>
      <c r="B13" s="560">
        <f t="shared" ref="B13:X13" si="2">SUM(B5:B12)</f>
        <v>28356</v>
      </c>
      <c r="C13" s="560">
        <f>SUM(C5:C12)</f>
        <v>26380.45</v>
      </c>
      <c r="D13" s="560">
        <f t="shared" si="2"/>
        <v>243</v>
      </c>
      <c r="E13" s="560">
        <f>SUM(E5:E12)</f>
        <v>491.08000000000004</v>
      </c>
      <c r="F13" s="560">
        <f t="shared" si="2"/>
        <v>3299</v>
      </c>
      <c r="G13" s="560">
        <f t="shared" si="2"/>
        <v>3468</v>
      </c>
      <c r="H13" s="560">
        <f t="shared" si="2"/>
        <v>80808</v>
      </c>
      <c r="I13" s="560">
        <f>SUM(I5:I12)</f>
        <v>80529.210000000006</v>
      </c>
      <c r="J13" s="560">
        <f t="shared" si="2"/>
        <v>-22784</v>
      </c>
      <c r="K13" s="560">
        <f>SUM(K5:K12)</f>
        <v>-11381.4</v>
      </c>
      <c r="L13" s="560">
        <f t="shared" si="2"/>
        <v>6882</v>
      </c>
      <c r="M13" s="560">
        <f>SUM(M5:M12)</f>
        <v>8141.26</v>
      </c>
      <c r="N13" s="560">
        <f t="shared" si="2"/>
        <v>6012</v>
      </c>
      <c r="O13" s="560">
        <f>SUM(O5:O12)</f>
        <v>18174.239999999998</v>
      </c>
      <c r="P13" s="560">
        <f t="shared" si="2"/>
        <v>1070</v>
      </c>
      <c r="Q13" s="560">
        <f>SUM(Q5:Q12)</f>
        <v>2623.88</v>
      </c>
      <c r="R13" s="560">
        <f t="shared" si="2"/>
        <v>6321</v>
      </c>
      <c r="S13" s="560">
        <f>SUM(S5:S12)</f>
        <v>7493.58</v>
      </c>
      <c r="T13" s="560">
        <f t="shared" si="2"/>
        <v>1171</v>
      </c>
      <c r="U13" s="560">
        <f>SUM(U5:U12)</f>
        <v>1707.73</v>
      </c>
      <c r="V13" s="560">
        <f t="shared" si="2"/>
        <v>115118</v>
      </c>
      <c r="W13" s="560">
        <f>SUM(W5:W12)</f>
        <v>108058.35</v>
      </c>
      <c r="X13" s="560">
        <f t="shared" si="2"/>
        <v>194822</v>
      </c>
      <c r="Y13" s="560">
        <f>SUM(Y5:Y12)</f>
        <v>202158.61</v>
      </c>
      <c r="Z13" s="560">
        <f t="shared" ref="Z13:AT13" si="3">SUM(Z5:Z12)</f>
        <v>4178</v>
      </c>
      <c r="AA13" s="560">
        <f>SUM(AA5:AA12)</f>
        <v>3625.7499999999995</v>
      </c>
      <c r="AB13" s="560">
        <f t="shared" si="3"/>
        <v>14357</v>
      </c>
      <c r="AC13" s="560">
        <f>SUM(AC5:AC12)</f>
        <v>9459.4500000000007</v>
      </c>
      <c r="AD13" s="560">
        <f t="shared" si="3"/>
        <v>20085</v>
      </c>
      <c r="AE13" s="560">
        <f>SUM(AE5:AE12)</f>
        <v>18379.37</v>
      </c>
      <c r="AF13" s="560">
        <f t="shared" si="3"/>
        <v>44562</v>
      </c>
      <c r="AG13" s="560">
        <f>SUM(AG5:AG12)</f>
        <v>50225.48</v>
      </c>
      <c r="AH13" s="560">
        <f t="shared" si="3"/>
        <v>12630</v>
      </c>
      <c r="AI13" s="560">
        <f>SUM(AI5:AI12)</f>
        <v>12405.250000000002</v>
      </c>
      <c r="AJ13" s="560">
        <f t="shared" si="3"/>
        <v>8354</v>
      </c>
      <c r="AK13" s="560">
        <f>SUM(AK5:AK12)</f>
        <v>7559.88</v>
      </c>
      <c r="AL13" s="560">
        <f t="shared" si="3"/>
        <v>0</v>
      </c>
      <c r="AM13" s="607">
        <f t="shared" si="3"/>
        <v>0</v>
      </c>
      <c r="AN13" s="560">
        <f t="shared" si="3"/>
        <v>101143</v>
      </c>
      <c r="AO13" s="560">
        <f>SUM(AO5:AO12)</f>
        <v>92712.8</v>
      </c>
      <c r="AP13" s="560">
        <f t="shared" si="3"/>
        <v>5875.72</v>
      </c>
      <c r="AQ13" s="560">
        <f>SUM(AQ5:AQ12)</f>
        <v>2601.48</v>
      </c>
      <c r="AR13" s="560">
        <f t="shared" si="3"/>
        <v>14205</v>
      </c>
      <c r="AS13" s="560">
        <f>SUM(AS5:AS12)</f>
        <v>9141.86</v>
      </c>
      <c r="AT13" s="560">
        <f t="shared" si="3"/>
        <v>15010</v>
      </c>
      <c r="AU13" s="560">
        <f>SUM(AU5:AU12)</f>
        <v>13629.26</v>
      </c>
      <c r="AV13" s="557">
        <f t="shared" si="0"/>
        <v>661717.72</v>
      </c>
      <c r="AW13" s="557">
        <f t="shared" si="0"/>
        <v>667585.57000000007</v>
      </c>
      <c r="AX13" s="560">
        <f>SUM(AX5:AX12)</f>
        <v>171360</v>
      </c>
      <c r="AY13" s="560">
        <f>SUM(AY5:AY12)</f>
        <v>1122.5800000000002</v>
      </c>
      <c r="AZ13" s="557">
        <f t="shared" si="1"/>
        <v>833077.72</v>
      </c>
      <c r="BA13" s="558">
        <f t="shared" si="1"/>
        <v>668708.15</v>
      </c>
    </row>
    <row r="14" spans="1:53" ht="42.75" x14ac:dyDescent="0.3">
      <c r="A14" s="524" t="s">
        <v>82</v>
      </c>
      <c r="B14" s="37">
        <f>2655+1562</f>
        <v>4217</v>
      </c>
      <c r="C14" s="37">
        <v>2670</v>
      </c>
      <c r="D14" s="11">
        <v>630</v>
      </c>
      <c r="E14" s="11">
        <v>1781</v>
      </c>
      <c r="F14" s="11">
        <v>253</v>
      </c>
      <c r="G14" s="603">
        <v>149</v>
      </c>
      <c r="H14" s="11">
        <v>1771</v>
      </c>
      <c r="I14" s="11">
        <v>1904</v>
      </c>
      <c r="J14" s="11">
        <v>164</v>
      </c>
      <c r="K14" s="11">
        <v>79</v>
      </c>
      <c r="L14" s="11">
        <f>270+182</f>
        <v>452</v>
      </c>
      <c r="M14" s="11">
        <v>394.08</v>
      </c>
      <c r="N14" s="11">
        <v>1226</v>
      </c>
      <c r="O14" s="11">
        <v>413.67</v>
      </c>
      <c r="P14" s="11">
        <v>20</v>
      </c>
      <c r="Q14" s="11">
        <v>54.03</v>
      </c>
      <c r="R14" s="11">
        <v>4153</v>
      </c>
      <c r="S14" s="11">
        <v>269</v>
      </c>
      <c r="T14" s="11">
        <v>114</v>
      </c>
      <c r="U14" s="11">
        <f>149.72+180.3</f>
        <v>330.02</v>
      </c>
      <c r="V14" s="11">
        <v>1221</v>
      </c>
      <c r="W14" s="11">
        <v>667</v>
      </c>
      <c r="X14" s="11">
        <v>1008</v>
      </c>
      <c r="Y14" s="11">
        <f>1962.46+936.48+1261.15</f>
        <v>4160.09</v>
      </c>
      <c r="Z14" s="11">
        <v>261</v>
      </c>
      <c r="AA14" s="11">
        <v>225</v>
      </c>
      <c r="AB14" s="11">
        <v>598</v>
      </c>
      <c r="AC14" s="11">
        <f>1000.04+184.2</f>
        <v>1184.24</v>
      </c>
      <c r="AD14" s="11">
        <v>178</v>
      </c>
      <c r="AE14" s="11">
        <f>592.56</f>
        <v>592.55999999999995</v>
      </c>
      <c r="AF14" s="11">
        <v>4719</v>
      </c>
      <c r="AG14" s="11">
        <v>2414</v>
      </c>
      <c r="AH14" s="11">
        <v>500</v>
      </c>
      <c r="AI14" s="11">
        <v>894</v>
      </c>
      <c r="AJ14" s="11">
        <v>2260</v>
      </c>
      <c r="AK14" s="11">
        <v>1974.62</v>
      </c>
      <c r="AL14" s="610"/>
      <c r="AM14" s="603"/>
      <c r="AN14" s="610"/>
      <c r="AO14" s="610"/>
      <c r="AP14" s="11">
        <v>125</v>
      </c>
      <c r="AQ14" s="11">
        <v>43.52</v>
      </c>
      <c r="AR14" s="164">
        <v>477</v>
      </c>
      <c r="AS14" s="164">
        <f>223.95+453.97</f>
        <v>677.92000000000007</v>
      </c>
      <c r="AT14" s="11">
        <v>1337</v>
      </c>
      <c r="AU14" s="11">
        <v>852</v>
      </c>
      <c r="AV14" s="8">
        <f t="shared" si="0"/>
        <v>25684</v>
      </c>
      <c r="AW14" s="8">
        <f t="shared" si="0"/>
        <v>21728.75</v>
      </c>
      <c r="AX14" s="164">
        <v>11.9</v>
      </c>
      <c r="AY14" s="164">
        <v>34.15</v>
      </c>
      <c r="AZ14" s="8">
        <f t="shared" si="1"/>
        <v>25695.9</v>
      </c>
      <c r="BA14" s="809">
        <f t="shared" si="1"/>
        <v>21762.9</v>
      </c>
    </row>
    <row r="15" spans="1:53" x14ac:dyDescent="0.3">
      <c r="A15" s="524" t="s">
        <v>83</v>
      </c>
      <c r="B15" s="37"/>
      <c r="C15" s="37"/>
      <c r="D15" s="11"/>
      <c r="E15" s="11"/>
      <c r="F15" s="11"/>
      <c r="G15" s="603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610"/>
      <c r="AM15" s="603"/>
      <c r="AN15" s="812"/>
      <c r="AO15" s="812"/>
      <c r="AP15" s="11"/>
      <c r="AQ15" s="11"/>
      <c r="AR15" s="164"/>
      <c r="AS15" s="164"/>
      <c r="AT15" s="11"/>
      <c r="AU15" s="11"/>
      <c r="AV15" s="8">
        <f t="shared" si="0"/>
        <v>0</v>
      </c>
      <c r="AW15" s="8">
        <f t="shared" si="0"/>
        <v>0</v>
      </c>
      <c r="AX15" s="164"/>
      <c r="AY15" s="164"/>
      <c r="AZ15" s="8">
        <f t="shared" si="1"/>
        <v>0</v>
      </c>
      <c r="BA15" s="809">
        <f t="shared" si="1"/>
        <v>0</v>
      </c>
    </row>
    <row r="16" spans="1:53" x14ac:dyDescent="0.3">
      <c r="A16" s="524" t="s">
        <v>84</v>
      </c>
      <c r="B16" s="8"/>
      <c r="C16" s="8"/>
      <c r="D16" s="17"/>
      <c r="E16" s="17"/>
      <c r="F16" s="17"/>
      <c r="G16" s="603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38"/>
      <c r="AA16" s="38"/>
      <c r="AB16" s="17"/>
      <c r="AC16" s="17"/>
      <c r="AD16" s="613"/>
      <c r="AE16" s="613"/>
      <c r="AF16" s="17"/>
      <c r="AG16" s="17"/>
      <c r="AH16" s="17"/>
      <c r="AI16" s="17"/>
      <c r="AJ16" s="17"/>
      <c r="AK16" s="17"/>
      <c r="AL16" s="610"/>
      <c r="AM16" s="603"/>
      <c r="AN16" s="811">
        <v>92</v>
      </c>
      <c r="AO16" s="811">
        <v>107.9</v>
      </c>
      <c r="AP16" s="11"/>
      <c r="AQ16" s="11"/>
      <c r="AR16" s="164"/>
      <c r="AS16" s="164"/>
      <c r="AT16" s="17"/>
      <c r="AU16" s="17"/>
      <c r="AV16" s="8">
        <f t="shared" si="0"/>
        <v>92</v>
      </c>
      <c r="AW16" s="8">
        <f t="shared" si="0"/>
        <v>107.9</v>
      </c>
      <c r="AX16" s="17"/>
      <c r="AY16" s="17"/>
      <c r="AZ16" s="8">
        <f t="shared" si="1"/>
        <v>92</v>
      </c>
      <c r="BA16" s="809">
        <f t="shared" si="1"/>
        <v>107.9</v>
      </c>
    </row>
    <row r="17" spans="1:53" ht="28.5" x14ac:dyDescent="0.3">
      <c r="A17" s="524" t="s">
        <v>85</v>
      </c>
      <c r="B17" s="37"/>
      <c r="C17" s="37"/>
      <c r="D17" s="11"/>
      <c r="E17" s="11"/>
      <c r="F17" s="11"/>
      <c r="G17" s="603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38"/>
      <c r="AA17" s="38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610"/>
      <c r="AM17" s="603"/>
      <c r="AN17" s="811"/>
      <c r="AO17" s="811">
        <v>1.41</v>
      </c>
      <c r="AP17" s="11"/>
      <c r="AQ17" s="11"/>
      <c r="AR17" s="164"/>
      <c r="AS17" s="164"/>
      <c r="AT17" s="11"/>
      <c r="AU17" s="11"/>
      <c r="AV17" s="8">
        <f t="shared" si="0"/>
        <v>0</v>
      </c>
      <c r="AW17" s="8">
        <f t="shared" si="0"/>
        <v>1.41</v>
      </c>
      <c r="AX17" s="11"/>
      <c r="AY17" s="11"/>
      <c r="AZ17" s="8">
        <f t="shared" si="1"/>
        <v>0</v>
      </c>
      <c r="BA17" s="809">
        <f t="shared" si="1"/>
        <v>1.41</v>
      </c>
    </row>
    <row r="18" spans="1:53" x14ac:dyDescent="0.3">
      <c r="A18" s="524" t="s">
        <v>86</v>
      </c>
      <c r="B18" s="37"/>
      <c r="C18" s="37"/>
      <c r="D18" s="11"/>
      <c r="E18" s="11"/>
      <c r="F18" s="11"/>
      <c r="G18" s="603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38"/>
      <c r="AA18" s="38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610"/>
      <c r="AM18" s="603"/>
      <c r="AN18" s="811">
        <v>14</v>
      </c>
      <c r="AO18" s="811">
        <v>15.56</v>
      </c>
      <c r="AP18" s="11"/>
      <c r="AQ18" s="11"/>
      <c r="AR18" s="164"/>
      <c r="AS18" s="164"/>
      <c r="AT18" s="11"/>
      <c r="AU18" s="11"/>
      <c r="AV18" s="8">
        <f t="shared" si="0"/>
        <v>14</v>
      </c>
      <c r="AW18" s="8">
        <f t="shared" si="0"/>
        <v>15.56</v>
      </c>
      <c r="AX18" s="11"/>
      <c r="AY18" s="11"/>
      <c r="AZ18" s="8">
        <f t="shared" si="1"/>
        <v>14</v>
      </c>
      <c r="BA18" s="809">
        <f t="shared" si="1"/>
        <v>15.56</v>
      </c>
    </row>
    <row r="19" spans="1:53" x14ac:dyDescent="0.3">
      <c r="A19" s="524" t="s">
        <v>87</v>
      </c>
      <c r="B19" s="37">
        <v>418</v>
      </c>
      <c r="C19" s="37">
        <v>436</v>
      </c>
      <c r="D19" s="11"/>
      <c r="E19" s="11"/>
      <c r="F19" s="11">
        <v>183</v>
      </c>
      <c r="G19" s="603">
        <v>239</v>
      </c>
      <c r="H19" s="11">
        <v>922</v>
      </c>
      <c r="I19" s="11">
        <v>679</v>
      </c>
      <c r="J19" s="11"/>
      <c r="K19" s="11"/>
      <c r="L19" s="11"/>
      <c r="M19" s="11"/>
      <c r="N19" s="11">
        <f>1968</f>
        <v>1968</v>
      </c>
      <c r="O19" s="11">
        <f>1531.15+892.06</f>
        <v>2423.21</v>
      </c>
      <c r="P19" s="11">
        <v>115</v>
      </c>
      <c r="Q19" s="11">
        <v>199.68</v>
      </c>
      <c r="R19" s="11"/>
      <c r="S19" s="11"/>
      <c r="T19" s="11">
        <v>307</v>
      </c>
      <c r="U19" s="11"/>
      <c r="V19" s="11">
        <v>565</v>
      </c>
      <c r="W19" s="11">
        <v>488</v>
      </c>
      <c r="X19" s="11"/>
      <c r="Y19" s="11"/>
      <c r="Z19" s="38">
        <v>182</v>
      </c>
      <c r="AA19" s="38">
        <v>263.58</v>
      </c>
      <c r="AB19" s="11">
        <v>645</v>
      </c>
      <c r="AC19" s="11"/>
      <c r="AD19" s="11">
        <v>203</v>
      </c>
      <c r="AE19" s="11">
        <v>186.17</v>
      </c>
      <c r="AF19" s="11"/>
      <c r="AG19" s="11"/>
      <c r="AH19" s="11">
        <v>49</v>
      </c>
      <c r="AI19" s="11">
        <v>5</v>
      </c>
      <c r="AJ19" s="11">
        <v>534</v>
      </c>
      <c r="AK19" s="11">
        <v>914.93</v>
      </c>
      <c r="AL19" s="610"/>
      <c r="AM19" s="603"/>
      <c r="AN19" s="811">
        <v>12509</v>
      </c>
      <c r="AO19" s="811">
        <v>981.67</v>
      </c>
      <c r="AP19" s="11"/>
      <c r="AQ19" s="11"/>
      <c r="AR19" s="164">
        <f>101+1</f>
        <v>102</v>
      </c>
      <c r="AS19" s="164"/>
      <c r="AT19" s="11"/>
      <c r="AU19" s="11"/>
      <c r="AV19" s="8">
        <f t="shared" si="0"/>
        <v>18702</v>
      </c>
      <c r="AW19" s="8">
        <f t="shared" si="0"/>
        <v>6816.24</v>
      </c>
      <c r="AX19" s="11"/>
      <c r="AY19" s="11"/>
      <c r="AZ19" s="8">
        <f t="shared" si="1"/>
        <v>18702</v>
      </c>
      <c r="BA19" s="809">
        <f t="shared" si="1"/>
        <v>6816.24</v>
      </c>
    </row>
    <row r="20" spans="1:53" ht="28.5" x14ac:dyDescent="0.3">
      <c r="A20" s="524" t="s">
        <v>88</v>
      </c>
      <c r="B20" s="37">
        <v>94</v>
      </c>
      <c r="C20" s="37">
        <v>190</v>
      </c>
      <c r="D20" s="11"/>
      <c r="E20" s="11"/>
      <c r="F20" s="11"/>
      <c r="G20" s="603"/>
      <c r="H20" s="11">
        <v>917</v>
      </c>
      <c r="I20" s="11">
        <v>542</v>
      </c>
      <c r="J20" s="11">
        <v>406</v>
      </c>
      <c r="K20" s="11">
        <v>405</v>
      </c>
      <c r="L20" s="11">
        <v>202</v>
      </c>
      <c r="M20" s="11"/>
      <c r="N20" s="11">
        <v>10</v>
      </c>
      <c r="O20" s="11"/>
      <c r="P20" s="11"/>
      <c r="Q20" s="11"/>
      <c r="R20" s="11">
        <v>51</v>
      </c>
      <c r="S20" s="11"/>
      <c r="T20" s="11"/>
      <c r="U20" s="11"/>
      <c r="V20" s="11">
        <v>1290</v>
      </c>
      <c r="W20" s="11">
        <v>1101</v>
      </c>
      <c r="X20" s="11">
        <v>308</v>
      </c>
      <c r="Y20" s="11"/>
      <c r="Z20" s="38">
        <v>270</v>
      </c>
      <c r="AA20" s="38">
        <v>215</v>
      </c>
      <c r="AB20" s="11"/>
      <c r="AC20" s="11"/>
      <c r="AD20" s="11">
        <v>900</v>
      </c>
      <c r="AE20" s="11">
        <v>393.4</v>
      </c>
      <c r="AF20" s="11">
        <v>630</v>
      </c>
      <c r="AG20" s="11">
        <v>918</v>
      </c>
      <c r="AH20" s="11">
        <v>180</v>
      </c>
      <c r="AI20" s="11">
        <v>91</v>
      </c>
      <c r="AJ20" s="11"/>
      <c r="AK20" s="11"/>
      <c r="AL20" s="610"/>
      <c r="AM20" s="603"/>
      <c r="AN20" s="811">
        <v>1858</v>
      </c>
      <c r="AO20" s="811">
        <v>2040.65</v>
      </c>
      <c r="AP20" s="11">
        <v>132</v>
      </c>
      <c r="AQ20" s="11">
        <v>94.34</v>
      </c>
      <c r="AR20" s="164">
        <v>125</v>
      </c>
      <c r="AS20" s="164">
        <v>123.47</v>
      </c>
      <c r="AT20" s="11">
        <v>141</v>
      </c>
      <c r="AU20" s="11">
        <v>37.85</v>
      </c>
      <c r="AV20" s="8">
        <f t="shared" si="0"/>
        <v>7514</v>
      </c>
      <c r="AW20" s="8">
        <f t="shared" si="0"/>
        <v>6151.7100000000009</v>
      </c>
      <c r="AX20" s="11"/>
      <c r="AY20" s="11"/>
      <c r="AZ20" s="8">
        <f t="shared" si="1"/>
        <v>7514</v>
      </c>
      <c r="BA20" s="809">
        <f t="shared" si="1"/>
        <v>6151.7100000000009</v>
      </c>
    </row>
    <row r="21" spans="1:53" x14ac:dyDescent="0.3">
      <c r="A21" s="524" t="s">
        <v>89</v>
      </c>
      <c r="B21" s="8"/>
      <c r="C21" s="8">
        <v>22</v>
      </c>
      <c r="D21" s="17"/>
      <c r="E21" s="17"/>
      <c r="F21" s="17"/>
      <c r="G21" s="603"/>
      <c r="H21" s="17"/>
      <c r="I21" s="17"/>
      <c r="J21" s="17"/>
      <c r="K21" s="17"/>
      <c r="L21" s="17"/>
      <c r="M21" s="17">
        <v>3.45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38"/>
      <c r="AA21" s="38"/>
      <c r="AB21" s="17"/>
      <c r="AC21" s="17"/>
      <c r="AD21" s="613"/>
      <c r="AE21" s="613"/>
      <c r="AF21" s="17"/>
      <c r="AG21" s="17"/>
      <c r="AH21" s="17"/>
      <c r="AI21" s="17"/>
      <c r="AJ21" s="17"/>
      <c r="AK21" s="17"/>
      <c r="AL21" s="610"/>
      <c r="AM21" s="603"/>
      <c r="AN21" s="812"/>
      <c r="AO21" s="812"/>
      <c r="AP21" s="11"/>
      <c r="AQ21" s="11"/>
      <c r="AR21" s="164"/>
      <c r="AS21" s="164"/>
      <c r="AT21" s="17">
        <v>-0.31</v>
      </c>
      <c r="AU21" s="17">
        <v>10.48</v>
      </c>
      <c r="AV21" s="8">
        <f t="shared" si="0"/>
        <v>-0.31</v>
      </c>
      <c r="AW21" s="8">
        <f t="shared" si="0"/>
        <v>35.93</v>
      </c>
      <c r="AX21" s="17"/>
      <c r="AY21" s="17"/>
      <c r="AZ21" s="8">
        <f t="shared" si="1"/>
        <v>-0.31</v>
      </c>
      <c r="BA21" s="809">
        <f t="shared" si="1"/>
        <v>35.93</v>
      </c>
    </row>
    <row r="22" spans="1:53" ht="28.5" x14ac:dyDescent="0.3">
      <c r="A22" s="524" t="s">
        <v>90</v>
      </c>
      <c r="B22" s="37">
        <v>13686</v>
      </c>
      <c r="C22" s="37">
        <v>14597.25</v>
      </c>
      <c r="D22" s="11">
        <f>7961+65</f>
        <v>8026</v>
      </c>
      <c r="E22" s="11">
        <v>7067.73</v>
      </c>
      <c r="F22" s="11">
        <v>2754</v>
      </c>
      <c r="G22" s="603">
        <v>3316</v>
      </c>
      <c r="H22" s="11">
        <v>48580</v>
      </c>
      <c r="I22" s="11">
        <v>38721.35</v>
      </c>
      <c r="J22" s="11"/>
      <c r="K22" s="11"/>
      <c r="L22" s="11">
        <f>107+63+19723+96+618</f>
        <v>20607</v>
      </c>
      <c r="M22" s="11">
        <v>19136.3</v>
      </c>
      <c r="N22" s="229">
        <v>6702</v>
      </c>
      <c r="O22" s="229">
        <v>449.93</v>
      </c>
      <c r="P22" s="11">
        <v>6645</v>
      </c>
      <c r="Q22" s="11">
        <v>21111.96</v>
      </c>
      <c r="R22" s="11">
        <v>15486</v>
      </c>
      <c r="S22" s="11">
        <v>10207</v>
      </c>
      <c r="T22" s="11">
        <v>8823</v>
      </c>
      <c r="U22" s="11">
        <v>5285.65</v>
      </c>
      <c r="V22" s="11">
        <v>26442</v>
      </c>
      <c r="W22" s="11">
        <v>1727.61</v>
      </c>
      <c r="X22" s="11">
        <v>118353</v>
      </c>
      <c r="Y22" s="11">
        <v>98108.46</v>
      </c>
      <c r="Z22" s="38"/>
      <c r="AA22" s="38"/>
      <c r="AB22" s="11">
        <v>38812</v>
      </c>
      <c r="AC22" s="11">
        <v>12963.55</v>
      </c>
      <c r="AD22" s="11">
        <v>10451</v>
      </c>
      <c r="AE22" s="11">
        <v>213.86</v>
      </c>
      <c r="AF22" s="11">
        <v>13004</v>
      </c>
      <c r="AG22" s="11">
        <v>3240.53</v>
      </c>
      <c r="AH22" s="11">
        <v>19460</v>
      </c>
      <c r="AI22" s="11">
        <v>6116.08</v>
      </c>
      <c r="AJ22" s="11">
        <v>7850</v>
      </c>
      <c r="AK22" s="11">
        <v>4138.9799999999996</v>
      </c>
      <c r="AL22" s="610"/>
      <c r="AM22" s="603"/>
      <c r="AN22" s="812"/>
      <c r="AO22" s="812"/>
      <c r="AP22" s="11">
        <v>9655</v>
      </c>
      <c r="AQ22" s="11">
        <v>254.29</v>
      </c>
      <c r="AR22" s="164">
        <v>27476</v>
      </c>
      <c r="AS22" s="164">
        <v>8549.76</v>
      </c>
      <c r="AT22" s="11">
        <v>31268</v>
      </c>
      <c r="AU22" s="11">
        <v>19654.8</v>
      </c>
      <c r="AV22" s="8">
        <f t="shared" si="0"/>
        <v>434080</v>
      </c>
      <c r="AW22" s="8">
        <f t="shared" si="0"/>
        <v>274861.08999999997</v>
      </c>
      <c r="AX22" s="164"/>
      <c r="AY22" s="164"/>
      <c r="AZ22" s="8">
        <f t="shared" si="1"/>
        <v>434080</v>
      </c>
      <c r="BA22" s="809">
        <f t="shared" si="1"/>
        <v>274861.08999999997</v>
      </c>
    </row>
    <row r="23" spans="1:53" ht="28.5" x14ac:dyDescent="0.3">
      <c r="A23" s="524" t="s">
        <v>91</v>
      </c>
      <c r="B23" s="37"/>
      <c r="C23" s="37"/>
      <c r="D23" s="11"/>
      <c r="E23" s="11"/>
      <c r="F23" s="11"/>
      <c r="G23" s="603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>
        <f>443+6193</f>
        <v>6636</v>
      </c>
      <c r="Y23" s="11"/>
      <c r="Z23" s="38"/>
      <c r="AA23" s="38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610"/>
      <c r="AM23" s="603"/>
      <c r="AN23" s="610"/>
      <c r="AO23" s="610"/>
      <c r="AP23" s="11"/>
      <c r="AQ23" s="11"/>
      <c r="AR23" s="164"/>
      <c r="AS23" s="164"/>
      <c r="AT23" s="11"/>
      <c r="AU23" s="11"/>
      <c r="AV23" s="8">
        <f t="shared" si="0"/>
        <v>6636</v>
      </c>
      <c r="AW23" s="8">
        <f t="shared" si="0"/>
        <v>0</v>
      </c>
      <c r="AX23" s="164"/>
      <c r="AY23" s="164"/>
      <c r="AZ23" s="8">
        <f t="shared" si="1"/>
        <v>6636</v>
      </c>
      <c r="BA23" s="809">
        <f t="shared" si="1"/>
        <v>0</v>
      </c>
    </row>
    <row r="24" spans="1:53" ht="28.5" x14ac:dyDescent="0.3">
      <c r="A24" s="524" t="s">
        <v>92</v>
      </c>
      <c r="B24" s="37"/>
      <c r="C24" s="37"/>
      <c r="D24" s="11"/>
      <c r="E24" s="11"/>
      <c r="F24" s="11">
        <v>-103</v>
      </c>
      <c r="G24" s="603">
        <v>9</v>
      </c>
      <c r="H24" s="11">
        <v>-12718</v>
      </c>
      <c r="I24" s="11">
        <v>-4149.6899999999996</v>
      </c>
      <c r="J24" s="11"/>
      <c r="K24" s="11"/>
      <c r="L24" s="11"/>
      <c r="M24" s="11"/>
      <c r="N24" s="11">
        <v>188</v>
      </c>
      <c r="O24" s="11">
        <v>4878.2700000000004</v>
      </c>
      <c r="P24" s="11">
        <v>-49</v>
      </c>
      <c r="Q24" s="11">
        <v>-49.3</v>
      </c>
      <c r="R24" s="11"/>
      <c r="S24" s="11"/>
      <c r="T24" s="11"/>
      <c r="U24" s="11">
        <v>540</v>
      </c>
      <c r="V24" s="11">
        <v>-3274</v>
      </c>
      <c r="W24" s="11">
        <v>-2078.54</v>
      </c>
      <c r="X24" s="11">
        <v>12075</v>
      </c>
      <c r="Y24" s="11">
        <v>2858.43</v>
      </c>
      <c r="Z24" s="38">
        <v>-62</v>
      </c>
      <c r="AA24" s="38">
        <v>56.15</v>
      </c>
      <c r="AB24" s="11"/>
      <c r="AC24" s="11">
        <v>-275</v>
      </c>
      <c r="AD24" s="11">
        <v>-48</v>
      </c>
      <c r="AE24" s="11">
        <v>-16.350000000000001</v>
      </c>
      <c r="AF24" s="11">
        <v>-118</v>
      </c>
      <c r="AG24" s="11">
        <v>80</v>
      </c>
      <c r="AH24" s="11"/>
      <c r="AI24" s="11"/>
      <c r="AJ24" s="11">
        <v>-745</v>
      </c>
      <c r="AK24" s="11"/>
      <c r="AL24" s="610"/>
      <c r="AM24" s="603"/>
      <c r="AN24" s="811"/>
      <c r="AO24" s="811">
        <v>-2468.29</v>
      </c>
      <c r="AP24" s="11"/>
      <c r="AQ24" s="11"/>
      <c r="AR24" s="164">
        <v>-1120</v>
      </c>
      <c r="AS24" s="164">
        <v>1784</v>
      </c>
      <c r="AT24" s="11"/>
      <c r="AU24" s="11"/>
      <c r="AV24" s="8">
        <f t="shared" si="0"/>
        <v>-5974</v>
      </c>
      <c r="AW24" s="8">
        <f t="shared" si="0"/>
        <v>1168.6800000000007</v>
      </c>
      <c r="AX24" s="164"/>
      <c r="AY24" s="164"/>
      <c r="AZ24" s="8">
        <f t="shared" si="1"/>
        <v>-5974</v>
      </c>
      <c r="BA24" s="809">
        <f t="shared" si="1"/>
        <v>1168.6800000000007</v>
      </c>
    </row>
    <row r="25" spans="1:53" ht="28.5" x14ac:dyDescent="0.3">
      <c r="A25" s="524" t="s">
        <v>93</v>
      </c>
      <c r="B25" s="37"/>
      <c r="C25" s="37"/>
      <c r="D25" s="11">
        <v>155</v>
      </c>
      <c r="E25" s="11">
        <v>123.2</v>
      </c>
      <c r="F25" s="11"/>
      <c r="G25" s="603"/>
      <c r="H25" s="11"/>
      <c r="I25" s="11"/>
      <c r="J25" s="11"/>
      <c r="K25" s="11"/>
      <c r="L25" s="11">
        <v>49</v>
      </c>
      <c r="M25" s="11">
        <v>-3.93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>
        <v>-791</v>
      </c>
      <c r="Y25" s="11">
        <v>530.98</v>
      </c>
      <c r="Z25" s="38"/>
      <c r="AA25" s="38"/>
      <c r="AB25" s="11">
        <v>54</v>
      </c>
      <c r="AC25" s="11">
        <v>77.31</v>
      </c>
      <c r="AD25" s="11"/>
      <c r="AE25" s="11"/>
      <c r="AF25" s="11"/>
      <c r="AG25" s="11"/>
      <c r="AH25" s="11"/>
      <c r="AI25" s="11"/>
      <c r="AJ25" s="11"/>
      <c r="AK25" s="11"/>
      <c r="AL25" s="610"/>
      <c r="AM25" s="603"/>
      <c r="AN25" s="812"/>
      <c r="AO25" s="812"/>
      <c r="AP25" s="11"/>
      <c r="AQ25" s="11"/>
      <c r="AR25" s="164">
        <v>16</v>
      </c>
      <c r="AS25" s="164">
        <v>13.44</v>
      </c>
      <c r="AT25" s="11">
        <v>126</v>
      </c>
      <c r="AU25" s="11">
        <v>34.42</v>
      </c>
      <c r="AV25" s="8">
        <f t="shared" si="0"/>
        <v>-391</v>
      </c>
      <c r="AW25" s="8">
        <f t="shared" si="0"/>
        <v>775.42</v>
      </c>
      <c r="AX25" s="164"/>
      <c r="AY25" s="164"/>
      <c r="AZ25" s="8">
        <f t="shared" si="1"/>
        <v>-391</v>
      </c>
      <c r="BA25" s="809">
        <f t="shared" si="1"/>
        <v>775.42</v>
      </c>
    </row>
    <row r="26" spans="1:53" x14ac:dyDescent="0.3">
      <c r="A26" s="524" t="s">
        <v>138</v>
      </c>
      <c r="B26" s="37"/>
      <c r="C26" s="37"/>
      <c r="D26" s="11">
        <v>499</v>
      </c>
      <c r="E26" s="11">
        <v>499</v>
      </c>
      <c r="F26" s="11"/>
      <c r="G26" s="603"/>
      <c r="H26" s="11">
        <v>12718</v>
      </c>
      <c r="I26" s="11"/>
      <c r="J26" s="11">
        <v>154</v>
      </c>
      <c r="K26" s="11">
        <v>419</v>
      </c>
      <c r="L26" s="11"/>
      <c r="M26" s="11"/>
      <c r="N26" s="11"/>
      <c r="O26" s="11"/>
      <c r="P26" s="11"/>
      <c r="Q26" s="11"/>
      <c r="R26" s="11"/>
      <c r="S26" s="11"/>
      <c r="T26" s="11">
        <v>189</v>
      </c>
      <c r="U26" s="11"/>
      <c r="V26" s="11">
        <v>3015</v>
      </c>
      <c r="W26" s="11">
        <v>1711</v>
      </c>
      <c r="X26" s="11"/>
      <c r="Y26" s="11"/>
      <c r="Z26" s="38"/>
      <c r="AA26" s="38"/>
      <c r="AB26" s="11"/>
      <c r="AC26" s="11"/>
      <c r="AD26" s="11"/>
      <c r="AE26" s="11"/>
      <c r="AF26" s="11"/>
      <c r="AG26" s="11"/>
      <c r="AH26" s="11"/>
      <c r="AI26" s="11"/>
      <c r="AJ26" s="11">
        <v>851</v>
      </c>
      <c r="AK26" s="11"/>
      <c r="AL26" s="610"/>
      <c r="AM26" s="603"/>
      <c r="AN26" s="812"/>
      <c r="AO26" s="812"/>
      <c r="AP26" s="813"/>
      <c r="AQ26" s="813"/>
      <c r="AR26" s="164"/>
      <c r="AS26" s="164">
        <v>12.7</v>
      </c>
      <c r="AT26" s="11"/>
      <c r="AU26" s="11"/>
      <c r="AV26" s="8"/>
      <c r="AW26" s="8"/>
      <c r="AX26" s="164"/>
      <c r="AY26" s="164"/>
      <c r="AZ26" s="8"/>
      <c r="BA26" s="809"/>
    </row>
    <row r="27" spans="1:53" s="559" customFormat="1" x14ac:dyDescent="0.3">
      <c r="A27" s="556" t="s">
        <v>212</v>
      </c>
      <c r="B27" s="557">
        <f>SUM(B14:B25)</f>
        <v>18415</v>
      </c>
      <c r="C27" s="557">
        <f>SUM(C14:C25)</f>
        <v>17915.25</v>
      </c>
      <c r="D27" s="557">
        <f>SUM(D14:D26)</f>
        <v>9310</v>
      </c>
      <c r="E27" s="557">
        <f>SUM(E14:E26)</f>
        <v>9470.93</v>
      </c>
      <c r="F27" s="557">
        <f>SUM(F14:F26)</f>
        <v>3087</v>
      </c>
      <c r="G27" s="557">
        <f>SUM(G14:G26)</f>
        <v>3713</v>
      </c>
      <c r="H27" s="557">
        <f>SUM(H14:H26)</f>
        <v>52190</v>
      </c>
      <c r="I27" s="557">
        <f>SUM(I14:I25)</f>
        <v>37696.659999999996</v>
      </c>
      <c r="J27" s="557">
        <f t="shared" ref="J27:O27" si="4">SUM(J14:J26)</f>
        <v>724</v>
      </c>
      <c r="K27" s="557">
        <f t="shared" si="4"/>
        <v>903</v>
      </c>
      <c r="L27" s="557">
        <f t="shared" si="4"/>
        <v>21310</v>
      </c>
      <c r="M27" s="557">
        <f t="shared" si="4"/>
        <v>19529.899999999998</v>
      </c>
      <c r="N27" s="557">
        <f t="shared" si="4"/>
        <v>10094</v>
      </c>
      <c r="O27" s="557">
        <f t="shared" si="4"/>
        <v>8165.08</v>
      </c>
      <c r="P27" s="557">
        <f t="shared" ref="P27:AA27" si="5">SUM(P14:P25)</f>
        <v>6731</v>
      </c>
      <c r="Q27" s="557">
        <f t="shared" si="5"/>
        <v>21316.37</v>
      </c>
      <c r="R27" s="557">
        <f t="shared" si="5"/>
        <v>19690</v>
      </c>
      <c r="S27" s="557">
        <f t="shared" si="5"/>
        <v>10476</v>
      </c>
      <c r="T27" s="557">
        <f t="shared" si="5"/>
        <v>9244</v>
      </c>
      <c r="U27" s="557">
        <f t="shared" si="5"/>
        <v>6155.67</v>
      </c>
      <c r="V27" s="557">
        <f>SUM(V14:V26)</f>
        <v>29259</v>
      </c>
      <c r="W27" s="557">
        <f>SUM(W14:W26)</f>
        <v>3616.0699999999997</v>
      </c>
      <c r="X27" s="557">
        <f t="shared" si="5"/>
        <v>137589</v>
      </c>
      <c r="Y27" s="557">
        <f t="shared" si="5"/>
        <v>105657.95999999999</v>
      </c>
      <c r="Z27" s="557">
        <f t="shared" si="5"/>
        <v>651</v>
      </c>
      <c r="AA27" s="557">
        <f t="shared" si="5"/>
        <v>759.7299999999999</v>
      </c>
      <c r="AB27" s="557">
        <f>SUM(AB14:AB26)</f>
        <v>40109</v>
      </c>
      <c r="AC27" s="557">
        <f>SUM(AC14:AC26)</f>
        <v>13950.099999999999</v>
      </c>
      <c r="AD27" s="557">
        <f>SUM(AD14:AD25)</f>
        <v>11684</v>
      </c>
      <c r="AE27" s="557">
        <f>SUM(AE14:AE25)</f>
        <v>1369.6399999999999</v>
      </c>
      <c r="AF27" s="557">
        <f>SUM(AF14:AF26)</f>
        <v>18235</v>
      </c>
      <c r="AG27" s="557">
        <f>SUM(AG14:AG26)</f>
        <v>6652.5300000000007</v>
      </c>
      <c r="AH27" s="557">
        <f t="shared" ref="AH27:AM27" si="6">SUM(AH14:AH25)</f>
        <v>20189</v>
      </c>
      <c r="AI27" s="557">
        <f t="shared" si="6"/>
        <v>7106.08</v>
      </c>
      <c r="AJ27" s="557">
        <f>SUM(AJ14:AJ26)</f>
        <v>10750</v>
      </c>
      <c r="AK27" s="557">
        <f t="shared" si="6"/>
        <v>7028.5299999999988</v>
      </c>
      <c r="AL27" s="557">
        <f t="shared" si="6"/>
        <v>0</v>
      </c>
      <c r="AM27" s="608">
        <f t="shared" si="6"/>
        <v>0</v>
      </c>
      <c r="AN27" s="557">
        <f>SUM(AN14:AN26)</f>
        <v>14473</v>
      </c>
      <c r="AO27" s="557">
        <f>SUM(AO14:AO26)</f>
        <v>678.90000000000009</v>
      </c>
      <c r="AP27" s="558">
        <f>SUM(AP14:AP25)</f>
        <v>9912</v>
      </c>
      <c r="AQ27" s="558">
        <f>SUM(AQ14:AQ25)</f>
        <v>392.15</v>
      </c>
      <c r="AR27" s="557">
        <f>SUM(AR14:AR26)</f>
        <v>27076</v>
      </c>
      <c r="AS27" s="557">
        <f>SUM(AS14:AS26)</f>
        <v>11161.29</v>
      </c>
      <c r="AT27" s="557">
        <f>SUM(AT14:AT25)</f>
        <v>32871.69</v>
      </c>
      <c r="AU27" s="557">
        <f>SUM(AU14:AU25)</f>
        <v>20589.55</v>
      </c>
      <c r="AV27" s="557">
        <f t="shared" ref="AV27:AW29" si="7">SUM(B27+D27+F27+H27+J27+L27+N27+P27+R27+T27+V27+X27+Z27+AB27+AD27+AF27+AH27+AJ27+AL27+AN27+AP27+AR27+AT27)</f>
        <v>503593.69</v>
      </c>
      <c r="AW27" s="557">
        <f t="shared" si="7"/>
        <v>314304.39</v>
      </c>
      <c r="AX27" s="557">
        <f>SUM(AX14:AX25)</f>
        <v>11.9</v>
      </c>
      <c r="AY27" s="557">
        <f>SUM(AY14:AY25)</f>
        <v>34.15</v>
      </c>
      <c r="AZ27" s="557">
        <f t="shared" ref="AZ27:BA29" si="8">AV27+AX27</f>
        <v>503605.59</v>
      </c>
      <c r="BA27" s="558">
        <f t="shared" si="8"/>
        <v>314338.54000000004</v>
      </c>
    </row>
    <row r="28" spans="1:53" x14ac:dyDescent="0.3">
      <c r="A28" s="524" t="s">
        <v>94</v>
      </c>
      <c r="B28" s="37">
        <v>9941</v>
      </c>
      <c r="C28" s="37">
        <v>8465.4699999999993</v>
      </c>
      <c r="D28" s="11">
        <v>-9066</v>
      </c>
      <c r="E28" s="11">
        <v>-8979.7800000000007</v>
      </c>
      <c r="F28" s="11">
        <v>212</v>
      </c>
      <c r="G28" s="603">
        <v>-246</v>
      </c>
      <c r="H28" s="11">
        <v>28618</v>
      </c>
      <c r="I28" s="11">
        <v>42833.74</v>
      </c>
      <c r="J28" s="11">
        <v>-23506</v>
      </c>
      <c r="K28" s="11">
        <v>-12284.99</v>
      </c>
      <c r="L28" s="11">
        <v>-14428</v>
      </c>
      <c r="M28" s="11">
        <v>-11388.64</v>
      </c>
      <c r="N28" s="11">
        <v>-4082</v>
      </c>
      <c r="O28" s="11">
        <v>10006</v>
      </c>
      <c r="P28" s="11">
        <v>-5661</v>
      </c>
      <c r="Q28" s="11">
        <v>-18692.490000000002</v>
      </c>
      <c r="R28" s="11">
        <v>-13368</v>
      </c>
      <c r="S28" s="11">
        <v>-2983.45</v>
      </c>
      <c r="T28" s="11">
        <v>-8262</v>
      </c>
      <c r="U28" s="11">
        <v>-4447.9399999999996</v>
      </c>
      <c r="V28" s="11">
        <v>85859</v>
      </c>
      <c r="W28" s="11">
        <v>104442.45</v>
      </c>
      <c r="X28" s="11">
        <v>57233</v>
      </c>
      <c r="Y28" s="11">
        <v>96500.65</v>
      </c>
      <c r="Z28" s="38">
        <v>3527</v>
      </c>
      <c r="AA28" s="38">
        <v>2864.2</v>
      </c>
      <c r="AB28" s="11">
        <v>-25753</v>
      </c>
      <c r="AC28" s="11">
        <v>-4490.66</v>
      </c>
      <c r="AD28" s="11">
        <v>8399</v>
      </c>
      <c r="AE28" s="11">
        <v>17009.73</v>
      </c>
      <c r="AF28" s="11">
        <v>26326</v>
      </c>
      <c r="AG28" s="11">
        <v>43573.66</v>
      </c>
      <c r="AH28" s="11">
        <v>-7559</v>
      </c>
      <c r="AI28" s="11">
        <v>5299.64</v>
      </c>
      <c r="AJ28" s="11">
        <v>-2397</v>
      </c>
      <c r="AK28" s="11">
        <v>531.35</v>
      </c>
      <c r="AL28" s="610"/>
      <c r="AM28" s="603"/>
      <c r="AN28" s="811">
        <v>86670</v>
      </c>
      <c r="AO28" s="811">
        <v>92033.47</v>
      </c>
      <c r="AP28" s="11">
        <v>-4036</v>
      </c>
      <c r="AQ28" s="11">
        <v>2209.33</v>
      </c>
      <c r="AR28" s="164">
        <v>-12871</v>
      </c>
      <c r="AS28" s="164">
        <v>-2018</v>
      </c>
      <c r="AT28" s="11">
        <v>-17862</v>
      </c>
      <c r="AU28" s="11">
        <v>-6960.13</v>
      </c>
      <c r="AV28" s="8">
        <f t="shared" si="7"/>
        <v>157934</v>
      </c>
      <c r="AW28" s="8">
        <f t="shared" si="7"/>
        <v>353277.61000000004</v>
      </c>
      <c r="AX28" s="164">
        <v>144</v>
      </c>
      <c r="AY28" s="164">
        <v>1088.43</v>
      </c>
      <c r="AZ28" s="8">
        <f t="shared" si="8"/>
        <v>158078</v>
      </c>
      <c r="BA28" s="809">
        <f t="shared" si="8"/>
        <v>354366.04000000004</v>
      </c>
    </row>
    <row r="29" spans="1:53" x14ac:dyDescent="0.3">
      <c r="A29" s="524" t="s">
        <v>95</v>
      </c>
      <c r="B29" s="37">
        <v>1382</v>
      </c>
      <c r="C29" s="37">
        <v>1474</v>
      </c>
      <c r="D29" s="11"/>
      <c r="E29" s="11"/>
      <c r="F29" s="11"/>
      <c r="G29" s="603"/>
      <c r="H29" s="11">
        <v>1004</v>
      </c>
      <c r="I29" s="11">
        <v>8201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>
        <v>842</v>
      </c>
      <c r="W29" s="11">
        <v>224.48</v>
      </c>
      <c r="X29" s="11"/>
      <c r="Y29" s="11"/>
      <c r="Z29" s="38">
        <v>509</v>
      </c>
      <c r="AA29" s="38">
        <v>417.03</v>
      </c>
      <c r="AB29" s="11"/>
      <c r="AC29" s="11"/>
      <c r="AD29" s="11"/>
      <c r="AE29" s="11"/>
      <c r="AF29" s="11">
        <v>2262</v>
      </c>
      <c r="AG29" s="11">
        <v>1839.3</v>
      </c>
      <c r="AH29" s="11"/>
      <c r="AI29" s="11">
        <v>771.63</v>
      </c>
      <c r="AJ29" s="11"/>
      <c r="AK29" s="11"/>
      <c r="AL29" s="610"/>
      <c r="AM29" s="603"/>
      <c r="AN29" s="610"/>
      <c r="AO29" s="610"/>
      <c r="AP29" s="11">
        <v>818</v>
      </c>
      <c r="AQ29" s="11">
        <v>359</v>
      </c>
      <c r="AR29" s="164"/>
      <c r="AS29" s="164"/>
      <c r="AT29" s="11">
        <v>1534</v>
      </c>
      <c r="AU29" s="11">
        <v>-1565.98</v>
      </c>
      <c r="AV29" s="8">
        <f t="shared" si="7"/>
        <v>8351</v>
      </c>
      <c r="AW29" s="8">
        <f t="shared" si="7"/>
        <v>11720.46</v>
      </c>
      <c r="AX29" s="164">
        <v>50</v>
      </c>
      <c r="AY29" s="164">
        <v>380.34</v>
      </c>
      <c r="AZ29" s="8">
        <f t="shared" si="8"/>
        <v>8401</v>
      </c>
      <c r="BA29" s="809">
        <f t="shared" si="8"/>
        <v>12100.8</v>
      </c>
    </row>
    <row r="30" spans="1:53" x14ac:dyDescent="0.3">
      <c r="A30" s="524" t="s">
        <v>208</v>
      </c>
      <c r="B30" s="37"/>
      <c r="C30" s="37"/>
      <c r="D30" s="11"/>
      <c r="E30" s="11"/>
      <c r="F30" s="11"/>
      <c r="G30" s="603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>
        <v>-7136.71</v>
      </c>
      <c r="Z30" s="38"/>
      <c r="AA30" s="38"/>
      <c r="AB30" s="11"/>
      <c r="AC30" s="11"/>
      <c r="AD30" s="11">
        <v>2793</v>
      </c>
      <c r="AE30" s="11">
        <v>2633.66</v>
      </c>
      <c r="AF30" s="11"/>
      <c r="AG30" s="11"/>
      <c r="AH30" s="11"/>
      <c r="AI30" s="11"/>
      <c r="AJ30" s="11"/>
      <c r="AK30" s="11"/>
      <c r="AL30" s="610"/>
      <c r="AM30" s="603"/>
      <c r="AN30" s="610"/>
      <c r="AO30" s="610"/>
      <c r="AP30" s="11"/>
      <c r="AQ30" s="11"/>
      <c r="AR30" s="164"/>
      <c r="AS30" s="164"/>
      <c r="AT30" s="11"/>
      <c r="AU30" s="11"/>
      <c r="AV30" s="8"/>
      <c r="AW30" s="8"/>
      <c r="AX30" s="164"/>
      <c r="AY30" s="164"/>
      <c r="AZ30" s="8"/>
      <c r="BA30" s="809"/>
    </row>
    <row r="31" spans="1:53" x14ac:dyDescent="0.3">
      <c r="A31" s="524" t="s">
        <v>96</v>
      </c>
      <c r="B31" s="37"/>
      <c r="C31" s="37"/>
      <c r="D31" s="11"/>
      <c r="E31" s="11"/>
      <c r="F31" s="11"/>
      <c r="G31" s="603"/>
      <c r="H31" s="11"/>
      <c r="I31" s="11"/>
      <c r="J31" s="11"/>
      <c r="K31" s="11"/>
      <c r="L31" s="11"/>
      <c r="M31" s="11"/>
      <c r="N31" s="11">
        <v>530</v>
      </c>
      <c r="O31" s="11">
        <v>-1299</v>
      </c>
      <c r="P31" s="11"/>
      <c r="Q31" s="11"/>
      <c r="R31" s="11"/>
      <c r="S31" s="11">
        <v>-48.34</v>
      </c>
      <c r="T31" s="11"/>
      <c r="U31" s="11"/>
      <c r="V31" s="11"/>
      <c r="W31" s="11"/>
      <c r="X31" s="11"/>
      <c r="Y31" s="11">
        <v>0.1</v>
      </c>
      <c r="Z31" s="38"/>
      <c r="AA31" s="38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610"/>
      <c r="AM31" s="603"/>
      <c r="AN31" s="610"/>
      <c r="AO31" s="610"/>
      <c r="AP31" s="11"/>
      <c r="AQ31" s="11"/>
      <c r="AR31" s="164"/>
      <c r="AS31" s="164"/>
      <c r="AT31" s="11"/>
      <c r="AU31" s="11"/>
      <c r="AV31" s="8">
        <f t="shared" ref="AV31:AW39" si="9">SUM(B31+D31+F31+H31+J31+L31+N31+P31+R31+T31+V31+X31+Z31+AB31+AD31+AF31+AH31+AJ31+AL31+AN31+AP31+AR31+AT31)</f>
        <v>530</v>
      </c>
      <c r="AW31" s="8">
        <f t="shared" si="9"/>
        <v>-1347.24</v>
      </c>
      <c r="AX31" s="164"/>
      <c r="AY31" s="164"/>
      <c r="AZ31" s="8">
        <f t="shared" ref="AZ31:BA39" si="10">AV31+AX31</f>
        <v>530</v>
      </c>
      <c r="BA31" s="809">
        <f t="shared" si="10"/>
        <v>-1347.24</v>
      </c>
    </row>
    <row r="32" spans="1:53" x14ac:dyDescent="0.3">
      <c r="A32" s="524" t="s">
        <v>97</v>
      </c>
      <c r="B32" s="11"/>
      <c r="C32" s="11"/>
      <c r="D32" s="11"/>
      <c r="E32" s="11"/>
      <c r="F32" s="11"/>
      <c r="G32" s="603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38"/>
      <c r="AA32" s="38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610"/>
      <c r="AM32" s="603"/>
      <c r="AN32" s="811">
        <v>3285</v>
      </c>
      <c r="AO32" s="811">
        <v>-313.79000000000002</v>
      </c>
      <c r="AP32" s="11"/>
      <c r="AQ32" s="11"/>
      <c r="AR32" s="164"/>
      <c r="AS32" s="164"/>
      <c r="AT32" s="11"/>
      <c r="AU32" s="11"/>
      <c r="AV32" s="8">
        <f t="shared" si="9"/>
        <v>3285</v>
      </c>
      <c r="AW32" s="8">
        <f t="shared" si="9"/>
        <v>-313.79000000000002</v>
      </c>
      <c r="AX32" s="164"/>
      <c r="AY32" s="164"/>
      <c r="AZ32" s="8">
        <f t="shared" si="10"/>
        <v>3285</v>
      </c>
      <c r="BA32" s="809">
        <f t="shared" si="10"/>
        <v>-313.79000000000002</v>
      </c>
    </row>
    <row r="33" spans="1:53" x14ac:dyDescent="0.3">
      <c r="A33" s="524" t="s">
        <v>98</v>
      </c>
      <c r="B33" s="37">
        <v>8559</v>
      </c>
      <c r="C33" s="37">
        <v>6991.49</v>
      </c>
      <c r="D33" s="11">
        <v>-9066</v>
      </c>
      <c r="E33" s="11">
        <v>-8979.7800000000007</v>
      </c>
      <c r="F33" s="11">
        <v>212</v>
      </c>
      <c r="G33" s="603">
        <v>-246</v>
      </c>
      <c r="H33" s="11">
        <v>27614</v>
      </c>
      <c r="I33" s="11">
        <v>34632.54</v>
      </c>
      <c r="J33" s="11">
        <v>-23506</v>
      </c>
      <c r="K33" s="11">
        <v>-12285</v>
      </c>
      <c r="L33" s="11">
        <v>-14428</v>
      </c>
      <c r="M33" s="11">
        <v>-11388.64</v>
      </c>
      <c r="N33" s="11">
        <v>-3552</v>
      </c>
      <c r="O33" s="11">
        <v>8707</v>
      </c>
      <c r="P33" s="11">
        <v>-5661</v>
      </c>
      <c r="Q33" s="11">
        <v>-18692.490000000002</v>
      </c>
      <c r="R33" s="11">
        <v>-13368</v>
      </c>
      <c r="S33" s="11">
        <v>-3031.79</v>
      </c>
      <c r="T33" s="11">
        <v>-8262</v>
      </c>
      <c r="U33" s="11">
        <v>-4447.9399999999996</v>
      </c>
      <c r="V33" s="11">
        <v>85017</v>
      </c>
      <c r="W33" s="11">
        <v>104218</v>
      </c>
      <c r="X33" s="11">
        <v>57233</v>
      </c>
      <c r="Y33" s="11">
        <v>89364.04</v>
      </c>
      <c r="Z33" s="38">
        <v>3018</v>
      </c>
      <c r="AA33" s="38">
        <v>2447.17</v>
      </c>
      <c r="AB33" s="11">
        <v>-25753</v>
      </c>
      <c r="AC33" s="11">
        <v>-4490.66</v>
      </c>
      <c r="AD33" s="11">
        <v>5606</v>
      </c>
      <c r="AE33" s="11">
        <v>14376.07</v>
      </c>
      <c r="AF33" s="11">
        <v>24065</v>
      </c>
      <c r="AG33" s="11">
        <v>41734.36</v>
      </c>
      <c r="AH33" s="11">
        <v>-7559</v>
      </c>
      <c r="AI33" s="11">
        <v>4528.01</v>
      </c>
      <c r="AJ33" s="11">
        <v>-2397</v>
      </c>
      <c r="AK33" s="11">
        <v>531.35</v>
      </c>
      <c r="AL33" s="610"/>
      <c r="AM33" s="603"/>
      <c r="AN33" s="811">
        <v>83385</v>
      </c>
      <c r="AO33" s="811">
        <v>92347.28</v>
      </c>
      <c r="AP33" s="11">
        <v>-4854</v>
      </c>
      <c r="AQ33" s="11">
        <v>1850.62</v>
      </c>
      <c r="AR33" s="164">
        <v>-12871</v>
      </c>
      <c r="AS33" s="164">
        <v>-2018</v>
      </c>
      <c r="AT33" s="11">
        <v>-19395</v>
      </c>
      <c r="AU33" s="11">
        <v>-8526.11</v>
      </c>
      <c r="AV33" s="8">
        <f t="shared" si="9"/>
        <v>144037</v>
      </c>
      <c r="AW33" s="8">
        <f t="shared" si="9"/>
        <v>327621.52</v>
      </c>
      <c r="AX33" s="164">
        <v>94</v>
      </c>
      <c r="AY33" s="164">
        <v>708.09</v>
      </c>
      <c r="AZ33" s="8">
        <f t="shared" si="10"/>
        <v>144131</v>
      </c>
      <c r="BA33" s="809">
        <f t="shared" si="10"/>
        <v>328329.61000000004</v>
      </c>
    </row>
    <row r="34" spans="1:53" x14ac:dyDescent="0.3">
      <c r="A34" s="525" t="s">
        <v>99</v>
      </c>
      <c r="B34" s="8"/>
      <c r="C34" s="8"/>
      <c r="D34" s="17"/>
      <c r="E34" s="17"/>
      <c r="F34" s="17"/>
      <c r="G34" s="603"/>
      <c r="H34" s="17"/>
      <c r="I34" s="17"/>
      <c r="J34" s="17"/>
      <c r="K34" s="17"/>
      <c r="L34" s="17"/>
      <c r="M34" s="17"/>
      <c r="N34" s="17"/>
      <c r="O34" s="17"/>
      <c r="P34" s="229"/>
      <c r="Q34" s="229"/>
      <c r="R34" s="17"/>
      <c r="S34" s="17"/>
      <c r="T34" s="17"/>
      <c r="U34" s="17"/>
      <c r="V34" s="17"/>
      <c r="W34" s="17"/>
      <c r="X34" s="17"/>
      <c r="Y34" s="17"/>
      <c r="Z34" s="38"/>
      <c r="AA34" s="38"/>
      <c r="AB34" s="17"/>
      <c r="AC34" s="17"/>
      <c r="AD34" s="613"/>
      <c r="AE34" s="613"/>
      <c r="AF34" s="17"/>
      <c r="AG34" s="17"/>
      <c r="AH34" s="17"/>
      <c r="AI34" s="17"/>
      <c r="AJ34" s="17"/>
      <c r="AK34" s="17"/>
      <c r="AL34" s="610"/>
      <c r="AM34" s="603"/>
      <c r="AN34" s="610"/>
      <c r="AO34" s="610"/>
      <c r="AP34" s="11"/>
      <c r="AQ34" s="11"/>
      <c r="AR34" s="164"/>
      <c r="AS34" s="164"/>
      <c r="AT34" s="17"/>
      <c r="AU34" s="17"/>
      <c r="AV34" s="8">
        <f t="shared" si="9"/>
        <v>0</v>
      </c>
      <c r="AW34" s="8">
        <f t="shared" si="9"/>
        <v>0</v>
      </c>
      <c r="AX34" s="17"/>
      <c r="AY34" s="17"/>
      <c r="AZ34" s="8">
        <f t="shared" si="10"/>
        <v>0</v>
      </c>
      <c r="BA34" s="809">
        <f t="shared" si="10"/>
        <v>0</v>
      </c>
    </row>
    <row r="35" spans="1:53" ht="28.5" x14ac:dyDescent="0.3">
      <c r="A35" s="524" t="s">
        <v>100</v>
      </c>
      <c r="B35" s="37">
        <v>8293</v>
      </c>
      <c r="C35" s="37">
        <v>-853.38</v>
      </c>
      <c r="D35" s="11">
        <v>-70411</v>
      </c>
      <c r="E35" s="11">
        <v>-61552.09</v>
      </c>
      <c r="F35" s="11">
        <v>-138941</v>
      </c>
      <c r="G35" s="603">
        <v>-134667</v>
      </c>
      <c r="H35" s="11">
        <v>907624</v>
      </c>
      <c r="I35" s="11">
        <v>866176.68</v>
      </c>
      <c r="J35" s="11">
        <v>-286150</v>
      </c>
      <c r="K35" s="11">
        <v>-270755.18</v>
      </c>
      <c r="L35" s="11">
        <v>20513</v>
      </c>
      <c r="M35" s="11">
        <v>11051</v>
      </c>
      <c r="N35" s="11">
        <v>-20451</v>
      </c>
      <c r="O35" s="11">
        <v>-29730.27</v>
      </c>
      <c r="P35" s="17">
        <v>-152361</v>
      </c>
      <c r="Q35" s="17">
        <v>-139329.79999999999</v>
      </c>
      <c r="R35" s="11">
        <v>-64297</v>
      </c>
      <c r="S35" s="11">
        <v>-69759.23</v>
      </c>
      <c r="T35" s="11">
        <v>-197717</v>
      </c>
      <c r="U35" s="11">
        <v>-181884.85</v>
      </c>
      <c r="V35" s="11">
        <v>592940</v>
      </c>
      <c r="W35" s="11">
        <v>456929</v>
      </c>
      <c r="X35" s="11">
        <v>360062</v>
      </c>
      <c r="Y35" s="11">
        <v>264446.86</v>
      </c>
      <c r="Z35" s="164">
        <v>23861</v>
      </c>
      <c r="AA35" s="164">
        <v>11916.19</v>
      </c>
      <c r="AB35" s="11">
        <v>-16909</v>
      </c>
      <c r="AC35" s="11">
        <v>-19928.439999999999</v>
      </c>
      <c r="AD35" s="11">
        <v>348314</v>
      </c>
      <c r="AE35" s="11">
        <v>279121.33</v>
      </c>
      <c r="AF35" s="11">
        <v>84173</v>
      </c>
      <c r="AG35" s="11">
        <v>51829.19</v>
      </c>
      <c r="AH35" s="11">
        <v>-60067</v>
      </c>
      <c r="AI35" s="11">
        <v>-70176.37</v>
      </c>
      <c r="AJ35" s="11">
        <v>-14707</v>
      </c>
      <c r="AK35" s="11">
        <v>-19734.810000000001</v>
      </c>
      <c r="AL35" s="610"/>
      <c r="AM35" s="603"/>
      <c r="AN35" s="811">
        <v>908816</v>
      </c>
      <c r="AO35" s="811">
        <v>788232.69</v>
      </c>
      <c r="AP35" s="11">
        <v>54668</v>
      </c>
      <c r="AQ35" s="11">
        <v>47044.49</v>
      </c>
      <c r="AR35" s="164">
        <v>19342</v>
      </c>
      <c r="AS35" s="164">
        <v>12796.91</v>
      </c>
      <c r="AT35" s="11">
        <v>18127</v>
      </c>
      <c r="AU35" s="11">
        <v>13416.85</v>
      </c>
      <c r="AV35" s="8">
        <f t="shared" si="9"/>
        <v>2324722</v>
      </c>
      <c r="AW35" s="8">
        <f t="shared" si="9"/>
        <v>1804589.77</v>
      </c>
      <c r="AX35" s="11"/>
      <c r="AY35" s="11"/>
      <c r="AZ35" s="8">
        <f t="shared" si="10"/>
        <v>2324722</v>
      </c>
      <c r="BA35" s="809">
        <f t="shared" si="10"/>
        <v>1804589.77</v>
      </c>
    </row>
    <row r="36" spans="1:53" ht="28.5" x14ac:dyDescent="0.3">
      <c r="A36" s="524" t="s">
        <v>101</v>
      </c>
      <c r="B36" s="37"/>
      <c r="C36" s="37"/>
      <c r="D36" s="11"/>
      <c r="E36" s="11"/>
      <c r="F36" s="11"/>
      <c r="G36" s="603"/>
      <c r="H36" s="11">
        <v>13715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64"/>
      <c r="AA36" s="164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610"/>
      <c r="AM36" s="603"/>
      <c r="AN36" s="812"/>
      <c r="AO36" s="812"/>
      <c r="AP36" s="11">
        <v>4430</v>
      </c>
      <c r="AQ36" s="11"/>
      <c r="AR36" s="164"/>
      <c r="AS36" s="164"/>
      <c r="AT36" s="11"/>
      <c r="AU36" s="11"/>
      <c r="AV36" s="8">
        <f t="shared" si="9"/>
        <v>18145</v>
      </c>
      <c r="AW36" s="8">
        <f t="shared" si="9"/>
        <v>0</v>
      </c>
      <c r="AX36" s="11"/>
      <c r="AY36" s="11"/>
      <c r="AZ36" s="8">
        <f t="shared" si="10"/>
        <v>18145</v>
      </c>
      <c r="BA36" s="809">
        <f t="shared" si="10"/>
        <v>0</v>
      </c>
    </row>
    <row r="37" spans="1:53" ht="28.5" x14ac:dyDescent="0.3">
      <c r="A37" s="526" t="s">
        <v>102</v>
      </c>
      <c r="B37" s="37"/>
      <c r="C37" s="37"/>
      <c r="D37" s="11"/>
      <c r="E37" s="11"/>
      <c r="F37" s="11"/>
      <c r="G37" s="603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>
        <v>-40848</v>
      </c>
      <c r="W37" s="11"/>
      <c r="X37" s="11">
        <v>28731</v>
      </c>
      <c r="Y37" s="11"/>
      <c r="Z37" s="164">
        <v>-10400</v>
      </c>
      <c r="AA37" s="164"/>
      <c r="AB37" s="11"/>
      <c r="AC37" s="11"/>
      <c r="AD37" s="11">
        <v>8165</v>
      </c>
      <c r="AE37" s="11"/>
      <c r="AF37" s="11">
        <v>17653</v>
      </c>
      <c r="AG37" s="11"/>
      <c r="AH37" s="11"/>
      <c r="AI37" s="11"/>
      <c r="AJ37" s="11"/>
      <c r="AK37" s="11"/>
      <c r="AL37" s="610"/>
      <c r="AM37" s="603"/>
      <c r="AN37" s="812"/>
      <c r="AO37" s="812"/>
      <c r="AP37" s="11"/>
      <c r="AQ37" s="11"/>
      <c r="AR37" s="164">
        <v>984</v>
      </c>
      <c r="AS37" s="164"/>
      <c r="AT37" s="11"/>
      <c r="AU37" s="11"/>
      <c r="AV37" s="8">
        <f t="shared" si="9"/>
        <v>4285</v>
      </c>
      <c r="AW37" s="8">
        <f t="shared" si="9"/>
        <v>0</v>
      </c>
      <c r="AX37" s="11"/>
      <c r="AY37" s="11"/>
      <c r="AZ37" s="8">
        <f t="shared" si="10"/>
        <v>4285</v>
      </c>
      <c r="BA37" s="809">
        <f t="shared" si="10"/>
        <v>0</v>
      </c>
    </row>
    <row r="38" spans="1:53" x14ac:dyDescent="0.3">
      <c r="A38" s="524" t="s">
        <v>103</v>
      </c>
      <c r="B38" s="37"/>
      <c r="C38" s="37"/>
      <c r="D38" s="11"/>
      <c r="E38" s="11"/>
      <c r="F38" s="11"/>
      <c r="G38" s="603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64"/>
      <c r="AA38" s="164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610"/>
      <c r="AM38" s="603"/>
      <c r="AN38" s="812"/>
      <c r="AO38" s="812"/>
      <c r="AP38" s="11"/>
      <c r="AQ38" s="11"/>
      <c r="AR38" s="164"/>
      <c r="AS38" s="164"/>
      <c r="AT38" s="11"/>
      <c r="AU38" s="11"/>
      <c r="AV38" s="8">
        <f t="shared" si="9"/>
        <v>0</v>
      </c>
      <c r="AW38" s="8">
        <f t="shared" si="9"/>
        <v>0</v>
      </c>
      <c r="AX38" s="11"/>
      <c r="AY38" s="11"/>
      <c r="AZ38" s="8">
        <f t="shared" si="10"/>
        <v>0</v>
      </c>
      <c r="BA38" s="809">
        <f t="shared" si="10"/>
        <v>0</v>
      </c>
    </row>
    <row r="39" spans="1:53" ht="28.5" x14ac:dyDescent="0.3">
      <c r="A39" s="524" t="s">
        <v>104</v>
      </c>
      <c r="B39" s="8">
        <v>3500</v>
      </c>
      <c r="C39" s="8"/>
      <c r="D39" s="17"/>
      <c r="E39" s="17"/>
      <c r="F39" s="17"/>
      <c r="G39" s="603"/>
      <c r="H39" s="17"/>
      <c r="I39" s="17"/>
      <c r="J39" s="17">
        <v>13</v>
      </c>
      <c r="K39" s="17">
        <v>7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38"/>
      <c r="AA39" s="38"/>
      <c r="AB39" s="17"/>
      <c r="AC39" s="17"/>
      <c r="AD39" s="613"/>
      <c r="AE39" s="613"/>
      <c r="AF39" s="17">
        <v>992</v>
      </c>
      <c r="AG39" s="17"/>
      <c r="AH39" s="17"/>
      <c r="AI39" s="17"/>
      <c r="AJ39" s="17"/>
      <c r="AK39" s="17"/>
      <c r="AL39" s="610"/>
      <c r="AM39" s="603"/>
      <c r="AN39" s="812"/>
      <c r="AO39" s="812"/>
      <c r="AP39" s="11"/>
      <c r="AQ39" s="11"/>
      <c r="AR39" s="164">
        <v>1250</v>
      </c>
      <c r="AS39" s="164"/>
      <c r="AT39" s="17"/>
      <c r="AU39" s="17"/>
      <c r="AV39" s="8">
        <f t="shared" si="9"/>
        <v>5755</v>
      </c>
      <c r="AW39" s="8">
        <f t="shared" si="9"/>
        <v>7</v>
      </c>
      <c r="AX39" s="17">
        <v>94</v>
      </c>
      <c r="AY39" s="17">
        <v>708</v>
      </c>
      <c r="AZ39" s="8">
        <f t="shared" si="10"/>
        <v>5849</v>
      </c>
      <c r="BA39" s="809">
        <f t="shared" si="10"/>
        <v>715</v>
      </c>
    </row>
    <row r="40" spans="1:53" ht="28.5" x14ac:dyDescent="0.3">
      <c r="A40" s="527" t="s">
        <v>202</v>
      </c>
      <c r="B40" s="8"/>
      <c r="C40" s="8"/>
      <c r="D40" s="444"/>
      <c r="E40" s="444"/>
      <c r="F40" s="444"/>
      <c r="G40" s="603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4"/>
      <c r="X40" s="444"/>
      <c r="Y40" s="444"/>
      <c r="Z40" s="617"/>
      <c r="AA40" s="617"/>
      <c r="AB40" s="444"/>
      <c r="AC40" s="444"/>
      <c r="AD40" s="614"/>
      <c r="AE40" s="614"/>
      <c r="AF40" s="444"/>
      <c r="AG40" s="444"/>
      <c r="AH40" s="444"/>
      <c r="AI40" s="444"/>
      <c r="AJ40" s="444"/>
      <c r="AK40" s="444"/>
      <c r="AL40" s="611"/>
      <c r="AM40" s="603"/>
      <c r="AN40" s="814"/>
      <c r="AO40" s="814"/>
      <c r="AP40" s="815"/>
      <c r="AQ40" s="815"/>
      <c r="AR40" s="426"/>
      <c r="AS40" s="426"/>
      <c r="AT40" s="444"/>
      <c r="AU40" s="444"/>
      <c r="AV40" s="439"/>
      <c r="AW40" s="439"/>
      <c r="AX40" s="444"/>
      <c r="AY40" s="444"/>
      <c r="AZ40" s="439"/>
      <c r="BA40" s="440"/>
    </row>
    <row r="41" spans="1:53" s="555" customFormat="1" ht="27.75" thickBot="1" x14ac:dyDescent="0.3">
      <c r="A41" s="553" t="s">
        <v>105</v>
      </c>
      <c r="B41" s="816">
        <f>B33+B35-B39</f>
        <v>13352</v>
      </c>
      <c r="C41" s="816">
        <f>C33+C35</f>
        <v>6138.11</v>
      </c>
      <c r="D41" s="554">
        <f>D33+D35</f>
        <v>-79477</v>
      </c>
      <c r="E41" s="554">
        <f>E33+E35</f>
        <v>-70531.87</v>
      </c>
      <c r="F41" s="554">
        <f>F33+F35</f>
        <v>-138729</v>
      </c>
      <c r="G41" s="554">
        <f>G33+G35</f>
        <v>-134913</v>
      </c>
      <c r="H41" s="817">
        <v>921523</v>
      </c>
      <c r="I41" s="817">
        <v>900809.22</v>
      </c>
      <c r="J41" s="554">
        <f>J33+J35+J39</f>
        <v>-309643</v>
      </c>
      <c r="K41" s="554">
        <f>K33+K35+K39</f>
        <v>-283033.18</v>
      </c>
      <c r="L41" s="554">
        <f t="shared" ref="L41:T41" si="11">L33+L35</f>
        <v>6085</v>
      </c>
      <c r="M41" s="554">
        <f>M33+M35</f>
        <v>-337.63999999999942</v>
      </c>
      <c r="N41" s="554">
        <f t="shared" si="11"/>
        <v>-24003</v>
      </c>
      <c r="O41" s="554">
        <f>O33+O35</f>
        <v>-21023.27</v>
      </c>
      <c r="P41" s="554">
        <f t="shared" si="11"/>
        <v>-158022</v>
      </c>
      <c r="Q41" s="554">
        <f>Q33+Q35</f>
        <v>-158022.28999999998</v>
      </c>
      <c r="R41" s="554">
        <f t="shared" si="11"/>
        <v>-77665</v>
      </c>
      <c r="S41" s="554">
        <f>S33+S35</f>
        <v>-72791.01999999999</v>
      </c>
      <c r="T41" s="554">
        <f t="shared" si="11"/>
        <v>-205979</v>
      </c>
      <c r="U41" s="554">
        <f>U33+U35</f>
        <v>-186332.79</v>
      </c>
      <c r="V41" s="817">
        <f>V33+V35+V37</f>
        <v>637109</v>
      </c>
      <c r="W41" s="817">
        <f>W33+W35</f>
        <v>561147</v>
      </c>
      <c r="X41" s="817">
        <v>388564</v>
      </c>
      <c r="Y41" s="817">
        <v>353810.9</v>
      </c>
      <c r="Z41" s="817">
        <v>16479</v>
      </c>
      <c r="AA41" s="817">
        <f>AA33+AA35</f>
        <v>14363.36</v>
      </c>
      <c r="AB41" s="818">
        <v>-42663</v>
      </c>
      <c r="AC41" s="818">
        <v>-24419.1</v>
      </c>
      <c r="AD41" s="817">
        <v>345755</v>
      </c>
      <c r="AE41" s="817">
        <f>AE33+AE35</f>
        <v>293497.40000000002</v>
      </c>
      <c r="AF41" s="817">
        <v>89592</v>
      </c>
      <c r="AG41" s="817">
        <v>93563.55</v>
      </c>
      <c r="AH41" s="817">
        <v>-67626</v>
      </c>
      <c r="AI41" s="817">
        <v>-65648.36</v>
      </c>
      <c r="AJ41" s="817">
        <f t="shared" ref="AJ41:AO41" si="12">AJ33+AJ35</f>
        <v>-17104</v>
      </c>
      <c r="AK41" s="817">
        <f t="shared" si="12"/>
        <v>-19203.460000000003</v>
      </c>
      <c r="AL41" s="554">
        <f t="shared" si="12"/>
        <v>0</v>
      </c>
      <c r="AM41" s="819">
        <f t="shared" si="12"/>
        <v>0</v>
      </c>
      <c r="AN41" s="817">
        <f t="shared" si="12"/>
        <v>992201</v>
      </c>
      <c r="AO41" s="817">
        <f t="shared" si="12"/>
        <v>880579.97</v>
      </c>
      <c r="AP41" s="820">
        <v>45382</v>
      </c>
      <c r="AQ41" s="820">
        <v>4889511</v>
      </c>
      <c r="AR41" s="817">
        <v>4237</v>
      </c>
      <c r="AS41" s="817">
        <v>10777.02</v>
      </c>
      <c r="AT41" s="554">
        <v>-1268</v>
      </c>
      <c r="AU41" s="554">
        <v>4890.74</v>
      </c>
      <c r="AV41" s="554">
        <f>SUM(B41+D41+F41+H41+J41+L41+N41+P41+R41+T41+V41+X41+Z41+AB41+AD41+AF41+AH41+AJ41+AL41+AN41+AP41+AR41+AT41)</f>
        <v>2338100</v>
      </c>
      <c r="AW41" s="554">
        <f>SUM(C41+E41+G41+I41+K41+M41+O41+Q41+S41+U41+W41+Y41+AA41+AC41+AE41+AG41+AI41+AK41+AM41+AO41+AQ41+AS41+AU41)</f>
        <v>6972832.29</v>
      </c>
      <c r="AX41" s="554">
        <v>0</v>
      </c>
      <c r="AY41" s="554">
        <v>0</v>
      </c>
      <c r="AZ41" s="554">
        <f>AZ33+AZ35</f>
        <v>2468853</v>
      </c>
      <c r="BA41" s="821">
        <f>BA33+BA35</f>
        <v>2132919.38</v>
      </c>
    </row>
    <row r="42" spans="1:53" s="36" customFormat="1" ht="28.5" x14ac:dyDescent="0.3">
      <c r="A42" s="231" t="s">
        <v>106</v>
      </c>
      <c r="B42" s="528"/>
      <c r="C42" s="528"/>
      <c r="D42" s="232"/>
      <c r="E42" s="232"/>
      <c r="F42" s="232"/>
      <c r="G42" s="616"/>
      <c r="H42" s="232"/>
      <c r="I42" s="232"/>
      <c r="J42" s="232"/>
      <c r="K42" s="232"/>
      <c r="L42" s="232"/>
      <c r="M42" s="232"/>
      <c r="N42" s="232"/>
      <c r="O42" s="232"/>
      <c r="P42" s="621"/>
      <c r="Q42" s="621"/>
      <c r="R42" s="232"/>
      <c r="S42" s="232"/>
      <c r="T42" s="232"/>
      <c r="U42" s="232"/>
      <c r="V42" s="232"/>
      <c r="W42" s="232"/>
      <c r="X42" s="232"/>
      <c r="Y42" s="232"/>
      <c r="Z42" s="618"/>
      <c r="AA42" s="618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8"/>
      <c r="AM42" s="604"/>
      <c r="AN42" s="822"/>
      <c r="AO42" s="822"/>
      <c r="AP42" s="232"/>
      <c r="AQ42" s="232"/>
      <c r="AR42" s="605"/>
      <c r="AS42" s="605"/>
      <c r="AT42" s="232"/>
      <c r="AU42" s="232"/>
      <c r="AV42" s="217"/>
      <c r="AW42" s="218"/>
      <c r="AX42" s="232"/>
      <c r="AY42" s="232"/>
      <c r="AZ42" s="217"/>
      <c r="BA42" s="219"/>
    </row>
    <row r="43" spans="1:53" x14ac:dyDescent="0.3">
      <c r="A43" s="215" t="s">
        <v>328</v>
      </c>
      <c r="B43" s="37"/>
      <c r="C43" s="37"/>
      <c r="D43" s="11"/>
      <c r="E43" s="11"/>
      <c r="F43" s="11"/>
      <c r="G43" s="603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>
        <v>10</v>
      </c>
      <c r="X43" s="11"/>
      <c r="Y43" s="11">
        <v>10</v>
      </c>
      <c r="Z43" s="38"/>
      <c r="AA43" s="38"/>
      <c r="AB43" s="11"/>
      <c r="AC43" s="11">
        <v>10</v>
      </c>
      <c r="AD43" s="11">
        <v>10</v>
      </c>
      <c r="AE43" s="11">
        <v>10</v>
      </c>
      <c r="AF43" s="11"/>
      <c r="AG43" s="11"/>
      <c r="AH43" s="11"/>
      <c r="AI43" s="11"/>
      <c r="AJ43" s="11"/>
      <c r="AK43" s="11"/>
      <c r="AL43" s="610"/>
      <c r="AM43" s="603"/>
      <c r="AN43" s="610"/>
      <c r="AO43" s="610">
        <v>10</v>
      </c>
      <c r="AP43" s="11"/>
      <c r="AQ43" s="11"/>
      <c r="AR43" s="229"/>
      <c r="AS43" s="229">
        <v>10</v>
      </c>
      <c r="AT43" s="11"/>
      <c r="AU43" s="11"/>
      <c r="AV43" s="17"/>
      <c r="AW43" s="16"/>
      <c r="AX43" s="11"/>
      <c r="AY43" s="11"/>
      <c r="AZ43" s="17"/>
      <c r="BA43" s="14"/>
    </row>
    <row r="44" spans="1:53" x14ac:dyDescent="0.3">
      <c r="A44" s="215" t="s">
        <v>107</v>
      </c>
      <c r="B44" s="230">
        <v>0.45</v>
      </c>
      <c r="C44" s="230">
        <v>0.37</v>
      </c>
      <c r="D44" s="11"/>
      <c r="E44" s="11"/>
      <c r="F44" s="1">
        <v>0.01</v>
      </c>
      <c r="G44" s="165">
        <v>-0.01</v>
      </c>
      <c r="H44" s="11"/>
      <c r="I44" s="11"/>
      <c r="J44" s="1">
        <v>-0.73</v>
      </c>
      <c r="K44" s="1">
        <v>-0.42</v>
      </c>
      <c r="L44" s="11"/>
      <c r="M44" s="11"/>
      <c r="N44" s="1"/>
      <c r="O44" s="1">
        <v>2.33</v>
      </c>
      <c r="P44" s="1"/>
      <c r="Q44" s="1">
        <v>-5.98</v>
      </c>
      <c r="R44" s="11"/>
      <c r="S44" s="11"/>
      <c r="T44" s="11"/>
      <c r="U44" s="11"/>
      <c r="V44" s="11"/>
      <c r="W44" s="11">
        <v>5.16</v>
      </c>
      <c r="X44" s="1"/>
      <c r="Y44" s="1">
        <v>6.22</v>
      </c>
      <c r="Z44" s="166">
        <v>0.38</v>
      </c>
      <c r="AA44" s="166">
        <v>0.31</v>
      </c>
      <c r="AB44" s="1">
        <v>-3.68</v>
      </c>
      <c r="AC44" s="1">
        <v>0.68</v>
      </c>
      <c r="AD44" s="1">
        <v>1.1000000000000001</v>
      </c>
      <c r="AE44" s="1">
        <v>2.82</v>
      </c>
      <c r="AF44" s="11"/>
      <c r="AG44" s="11"/>
      <c r="AH44" s="11"/>
      <c r="AI44" s="11"/>
      <c r="AJ44" s="11"/>
      <c r="AK44" s="11"/>
      <c r="AL44" s="610"/>
      <c r="AM44" s="603"/>
      <c r="AN44" s="823">
        <v>8.34</v>
      </c>
      <c r="AO44" s="823">
        <v>9.23</v>
      </c>
      <c r="AP44" s="11"/>
      <c r="AQ44" s="11"/>
      <c r="AR44" s="220"/>
      <c r="AS44" s="220">
        <v>-0.78</v>
      </c>
      <c r="AT44" s="11"/>
      <c r="AU44" s="11"/>
      <c r="AV44" s="17"/>
      <c r="AW44" s="16"/>
      <c r="AX44" s="11"/>
      <c r="AY44" s="11"/>
      <c r="AZ44" s="17"/>
      <c r="BA44" s="14"/>
    </row>
    <row r="45" spans="1:53" ht="15" thickBot="1" x14ac:dyDescent="0.35">
      <c r="A45" s="216" t="s">
        <v>108</v>
      </c>
      <c r="B45" s="721">
        <v>0.45</v>
      </c>
      <c r="C45" s="721">
        <v>0.37</v>
      </c>
      <c r="D45" s="40"/>
      <c r="E45" s="40"/>
      <c r="F45" s="620">
        <v>0.01</v>
      </c>
      <c r="G45" s="619">
        <v>-0.01</v>
      </c>
      <c r="H45" s="40"/>
      <c r="I45" s="40"/>
      <c r="J45" s="620">
        <v>-0.73</v>
      </c>
      <c r="K45" s="620">
        <v>-0.42</v>
      </c>
      <c r="L45" s="40"/>
      <c r="M45" s="40"/>
      <c r="N45" s="620"/>
      <c r="O45" s="620">
        <v>2.33</v>
      </c>
      <c r="P45" s="620"/>
      <c r="Q45" s="620">
        <v>-5.98</v>
      </c>
      <c r="R45" s="40"/>
      <c r="S45" s="40"/>
      <c r="T45" s="40"/>
      <c r="U45" s="40"/>
      <c r="V45" s="1"/>
      <c r="W45" s="1">
        <v>5.16</v>
      </c>
      <c r="X45" s="620"/>
      <c r="Y45" s="620">
        <v>6.22</v>
      </c>
      <c r="Z45" s="826">
        <v>0.38</v>
      </c>
      <c r="AA45" s="826">
        <v>0.31</v>
      </c>
      <c r="AB45" s="620">
        <v>-3.68</v>
      </c>
      <c r="AC45" s="620">
        <v>0.68</v>
      </c>
      <c r="AD45" s="827">
        <v>1.1000000000000001</v>
      </c>
      <c r="AE45" s="827">
        <v>2.82</v>
      </c>
      <c r="AF45" s="40"/>
      <c r="AG45" s="40"/>
      <c r="AH45" s="40"/>
      <c r="AI45" s="40"/>
      <c r="AJ45" s="40"/>
      <c r="AK45" s="40"/>
      <c r="AL45" s="612"/>
      <c r="AM45" s="609"/>
      <c r="AN45" s="824">
        <v>8.33</v>
      </c>
      <c r="AO45" s="824">
        <v>9.23</v>
      </c>
      <c r="AP45" s="825"/>
      <c r="AQ45" s="825"/>
      <c r="AR45" s="221"/>
      <c r="AS45" s="221">
        <v>-0.78</v>
      </c>
      <c r="AT45" s="40"/>
      <c r="AU45" s="40"/>
      <c r="AV45" s="40"/>
      <c r="AW45" s="39"/>
      <c r="AX45" s="40"/>
      <c r="AY45" s="40"/>
      <c r="AZ45" s="40"/>
      <c r="BA45" s="169"/>
    </row>
  </sheetData>
  <mergeCells count="29">
    <mergeCell ref="H3:I3"/>
    <mergeCell ref="AN3:AO3"/>
    <mergeCell ref="AP3:AQ3"/>
    <mergeCell ref="AR3:AS3"/>
    <mergeCell ref="AJ3:AK3"/>
    <mergeCell ref="T3:U3"/>
    <mergeCell ref="X3:Y3"/>
    <mergeCell ref="P3:Q3"/>
    <mergeCell ref="R3:S3"/>
    <mergeCell ref="AB3:AC3"/>
    <mergeCell ref="AD3:AE3"/>
    <mergeCell ref="AF3:AG3"/>
    <mergeCell ref="AH3:AI3"/>
    <mergeCell ref="AT3:AU3"/>
    <mergeCell ref="AV3:AW3"/>
    <mergeCell ref="V3:W3"/>
    <mergeCell ref="Z3:AA3"/>
    <mergeCell ref="A1:AZ1"/>
    <mergeCell ref="A2:AZ2"/>
    <mergeCell ref="A3:A4"/>
    <mergeCell ref="B3:C3"/>
    <mergeCell ref="D3:E3"/>
    <mergeCell ref="F3:G3"/>
    <mergeCell ref="J3:K3"/>
    <mergeCell ref="AX3:AY3"/>
    <mergeCell ref="L3:M3"/>
    <mergeCell ref="AL3:AM3"/>
    <mergeCell ref="N3:O3"/>
    <mergeCell ref="AZ3:BA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BA67"/>
  <sheetViews>
    <sheetView workbookViewId="0">
      <pane xSplit="1" topLeftCell="B1" activePane="topRight" state="frozen"/>
      <selection pane="topRight" activeCell="A5" sqref="A5"/>
    </sheetView>
  </sheetViews>
  <sheetFormatPr defaultRowHeight="14.25" x14ac:dyDescent="0.3"/>
  <cols>
    <col min="1" max="1" width="64" style="301" bestFit="1" customWidth="1"/>
    <col min="2" max="3" width="11.28515625" style="301" bestFit="1" customWidth="1"/>
    <col min="4" max="4" width="10.28515625" style="301" bestFit="1" customWidth="1"/>
    <col min="5" max="5" width="11.28515625" style="301" customWidth="1"/>
    <col min="6" max="8" width="10.28515625" style="301" bestFit="1" customWidth="1"/>
    <col min="9" max="9" width="11.28515625" style="301" customWidth="1"/>
    <col min="10" max="10" width="10.28515625" style="301" bestFit="1" customWidth="1"/>
    <col min="11" max="11" width="11.28515625" style="301" bestFit="1" customWidth="1"/>
    <col min="12" max="12" width="11.28515625" style="301" customWidth="1"/>
    <col min="13" max="14" width="11.28515625" style="301" bestFit="1" customWidth="1"/>
    <col min="15" max="15" width="10.28515625" style="301" bestFit="1" customWidth="1"/>
    <col min="16" max="16" width="11.28515625" style="301" customWidth="1"/>
    <col min="17" max="17" width="11.28515625" style="301" bestFit="1" customWidth="1"/>
    <col min="18" max="19" width="11.28515625" style="301" customWidth="1"/>
    <col min="20" max="20" width="11.28515625" style="301" bestFit="1" customWidth="1"/>
    <col min="21" max="21" width="10.28515625" style="301" bestFit="1" customWidth="1"/>
    <col min="22" max="24" width="11.28515625" style="301" customWidth="1"/>
    <col min="25" max="25" width="12" style="301" bestFit="1" customWidth="1"/>
    <col min="26" max="26" width="10.28515625" style="301" bestFit="1" customWidth="1"/>
    <col min="27" max="27" width="12.7109375" style="301" customWidth="1"/>
    <col min="28" max="28" width="10.28515625" style="301" bestFit="1" customWidth="1"/>
    <col min="29" max="29" width="11.28515625" style="301" bestFit="1" customWidth="1"/>
    <col min="30" max="30" width="9" style="301" bestFit="1" customWidth="1"/>
    <col min="31" max="31" width="11" style="301" customWidth="1"/>
    <col min="32" max="32" width="10.28515625" style="301" bestFit="1" customWidth="1"/>
    <col min="33" max="33" width="11" style="301" customWidth="1"/>
    <col min="34" max="35" width="11.28515625" style="301" bestFit="1" customWidth="1"/>
    <col min="36" max="36" width="9" style="301" bestFit="1" customWidth="1"/>
    <col min="37" max="37" width="11" style="301" bestFit="1" customWidth="1"/>
    <col min="38" max="38" width="11.28515625" style="301" bestFit="1" customWidth="1"/>
    <col min="39" max="40" width="10.28515625" style="301" bestFit="1" customWidth="1"/>
    <col min="41" max="41" width="12" style="301" bestFit="1" customWidth="1"/>
    <col min="42" max="43" width="10.28515625" style="301" bestFit="1" customWidth="1"/>
    <col min="44" max="44" width="11.28515625" style="301" bestFit="1" customWidth="1"/>
    <col min="45" max="45" width="10.28515625" style="301" bestFit="1" customWidth="1"/>
    <col min="46" max="46" width="9" style="301" customWidth="1"/>
    <col min="47" max="47" width="11.28515625" style="301" bestFit="1" customWidth="1"/>
    <col min="48" max="48" width="10.28515625" style="301" bestFit="1" customWidth="1"/>
    <col min="49" max="49" width="12.7109375" style="301" customWidth="1"/>
    <col min="50" max="50" width="12.7109375" style="301" bestFit="1" customWidth="1"/>
    <col min="51" max="51" width="12" style="301" bestFit="1" customWidth="1"/>
    <col min="52" max="52" width="11.28515625" style="301" customWidth="1"/>
    <col min="53" max="53" width="12" style="301" bestFit="1" customWidth="1"/>
    <col min="54" max="16384" width="9.140625" style="301"/>
  </cols>
  <sheetData>
    <row r="1" spans="1:53" ht="65.25" customHeight="1" thickBot="1" x14ac:dyDescent="0.35">
      <c r="A1" s="59" t="s">
        <v>391</v>
      </c>
      <c r="B1" s="1087" t="s">
        <v>114</v>
      </c>
      <c r="C1" s="1088"/>
      <c r="D1" s="1085" t="s">
        <v>263</v>
      </c>
      <c r="E1" s="1086"/>
      <c r="F1" s="1089" t="s">
        <v>116</v>
      </c>
      <c r="G1" s="1086"/>
      <c r="H1" s="1089" t="s">
        <v>117</v>
      </c>
      <c r="I1" s="1086"/>
      <c r="J1" s="1089" t="s">
        <v>264</v>
      </c>
      <c r="K1" s="1089"/>
      <c r="L1" s="1085" t="s">
        <v>119</v>
      </c>
      <c r="M1" s="1086"/>
      <c r="N1" s="1085" t="s">
        <v>220</v>
      </c>
      <c r="O1" s="1086"/>
      <c r="P1" s="1089" t="s">
        <v>136</v>
      </c>
      <c r="Q1" s="1089"/>
      <c r="R1" s="1085" t="s">
        <v>265</v>
      </c>
      <c r="S1" s="1086"/>
      <c r="T1" s="1085" t="s">
        <v>266</v>
      </c>
      <c r="U1" s="1086"/>
      <c r="V1" s="1089" t="s">
        <v>267</v>
      </c>
      <c r="W1" s="1086"/>
      <c r="X1" s="1089" t="s">
        <v>268</v>
      </c>
      <c r="Y1" s="1086"/>
      <c r="Z1" s="1089" t="s">
        <v>327</v>
      </c>
      <c r="AA1" s="1089"/>
      <c r="AB1" s="1085" t="s">
        <v>125</v>
      </c>
      <c r="AC1" s="1086"/>
      <c r="AD1" s="1085" t="s">
        <v>126</v>
      </c>
      <c r="AE1" s="1086"/>
      <c r="AF1" s="1085" t="s">
        <v>127</v>
      </c>
      <c r="AG1" s="1086"/>
      <c r="AH1" s="1085" t="s">
        <v>207</v>
      </c>
      <c r="AI1" s="1086"/>
      <c r="AJ1" s="1085" t="s">
        <v>129</v>
      </c>
      <c r="AK1" s="1086"/>
      <c r="AL1" s="1089" t="s">
        <v>130</v>
      </c>
      <c r="AM1" s="1089"/>
      <c r="AN1" s="1085" t="s">
        <v>131</v>
      </c>
      <c r="AO1" s="1086"/>
      <c r="AP1" s="1085" t="s">
        <v>132</v>
      </c>
      <c r="AQ1" s="1086"/>
      <c r="AR1" s="1089" t="s">
        <v>269</v>
      </c>
      <c r="AS1" s="1089"/>
      <c r="AT1" s="1085" t="s">
        <v>134</v>
      </c>
      <c r="AU1" s="1086"/>
      <c r="AV1" s="1090" t="s">
        <v>1</v>
      </c>
      <c r="AW1" s="1091"/>
      <c r="AX1" s="1085" t="s">
        <v>135</v>
      </c>
      <c r="AY1" s="1086"/>
      <c r="AZ1" s="1090" t="s">
        <v>2</v>
      </c>
      <c r="BA1" s="1091"/>
    </row>
    <row r="2" spans="1:53" s="646" customFormat="1" ht="69" customHeight="1" thickBot="1" x14ac:dyDescent="0.35">
      <c r="A2" s="786" t="s">
        <v>0</v>
      </c>
      <c r="B2" s="787" t="s">
        <v>339</v>
      </c>
      <c r="C2" s="788" t="s">
        <v>326</v>
      </c>
      <c r="D2" s="787" t="s">
        <v>339</v>
      </c>
      <c r="E2" s="788" t="s">
        <v>326</v>
      </c>
      <c r="F2" s="787" t="s">
        <v>339</v>
      </c>
      <c r="G2" s="788" t="s">
        <v>326</v>
      </c>
      <c r="H2" s="787" t="s">
        <v>339</v>
      </c>
      <c r="I2" s="788" t="s">
        <v>326</v>
      </c>
      <c r="J2" s="787" t="s">
        <v>339</v>
      </c>
      <c r="K2" s="787" t="s">
        <v>326</v>
      </c>
      <c r="L2" s="787" t="s">
        <v>339</v>
      </c>
      <c r="M2" s="788" t="s">
        <v>326</v>
      </c>
      <c r="N2" s="787" t="s">
        <v>339</v>
      </c>
      <c r="O2" s="788" t="s">
        <v>326</v>
      </c>
      <c r="P2" s="1027" t="s">
        <v>339</v>
      </c>
      <c r="Q2" s="788" t="s">
        <v>326</v>
      </c>
      <c r="R2" s="787" t="s">
        <v>339</v>
      </c>
      <c r="S2" s="788" t="s">
        <v>326</v>
      </c>
      <c r="T2" s="787" t="s">
        <v>339</v>
      </c>
      <c r="U2" s="788" t="s">
        <v>326</v>
      </c>
      <c r="V2" s="787" t="s">
        <v>339</v>
      </c>
      <c r="W2" s="788" t="s">
        <v>326</v>
      </c>
      <c r="X2" s="787" t="s">
        <v>339</v>
      </c>
      <c r="Y2" s="788" t="s">
        <v>326</v>
      </c>
      <c r="Z2" s="787" t="s">
        <v>339</v>
      </c>
      <c r="AA2" s="788" t="s">
        <v>326</v>
      </c>
      <c r="AB2" s="787" t="s">
        <v>339</v>
      </c>
      <c r="AC2" s="788" t="s">
        <v>326</v>
      </c>
      <c r="AD2" s="787" t="s">
        <v>339</v>
      </c>
      <c r="AE2" s="788" t="s">
        <v>326</v>
      </c>
      <c r="AF2" s="787" t="s">
        <v>339</v>
      </c>
      <c r="AG2" s="787" t="s">
        <v>326</v>
      </c>
      <c r="AH2" s="787" t="s">
        <v>339</v>
      </c>
      <c r="AI2" s="788" t="s">
        <v>326</v>
      </c>
      <c r="AJ2" s="1027" t="s">
        <v>339</v>
      </c>
      <c r="AK2" s="788" t="s">
        <v>326</v>
      </c>
      <c r="AL2" s="787" t="s">
        <v>339</v>
      </c>
      <c r="AM2" s="788" t="s">
        <v>326</v>
      </c>
      <c r="AN2" s="787" t="s">
        <v>339</v>
      </c>
      <c r="AO2" s="788" t="s">
        <v>326</v>
      </c>
      <c r="AP2" s="787" t="s">
        <v>339</v>
      </c>
      <c r="AQ2" s="788" t="s">
        <v>326</v>
      </c>
      <c r="AR2" s="787" t="s">
        <v>339</v>
      </c>
      <c r="AS2" s="788" t="s">
        <v>326</v>
      </c>
      <c r="AT2" s="787" t="s">
        <v>339</v>
      </c>
      <c r="AU2" s="788" t="s">
        <v>326</v>
      </c>
      <c r="AV2" s="787" t="s">
        <v>339</v>
      </c>
      <c r="AW2" s="788" t="s">
        <v>326</v>
      </c>
      <c r="AX2" s="787" t="s">
        <v>339</v>
      </c>
      <c r="AY2" s="788" t="s">
        <v>326</v>
      </c>
      <c r="AZ2" s="787" t="s">
        <v>339</v>
      </c>
      <c r="BA2" s="788" t="s">
        <v>326</v>
      </c>
    </row>
    <row r="3" spans="1:53" x14ac:dyDescent="0.3">
      <c r="A3" s="789" t="s">
        <v>270</v>
      </c>
      <c r="B3" s="790"/>
      <c r="C3" s="791"/>
      <c r="D3" s="792"/>
      <c r="E3" s="791"/>
      <c r="F3" s="792"/>
      <c r="G3" s="791"/>
      <c r="H3" s="792"/>
      <c r="I3" s="791"/>
      <c r="J3" s="792"/>
      <c r="K3" s="791"/>
      <c r="L3" s="792"/>
      <c r="M3" s="793"/>
      <c r="N3" s="792"/>
      <c r="O3" s="793"/>
      <c r="P3" s="790"/>
      <c r="Q3" s="793"/>
      <c r="R3" s="790"/>
      <c r="S3" s="793"/>
      <c r="T3" s="790"/>
      <c r="U3" s="793"/>
      <c r="V3" s="790"/>
      <c r="W3" s="793"/>
      <c r="X3" s="790"/>
      <c r="Y3" s="791"/>
      <c r="Z3" s="792"/>
      <c r="AA3" s="791"/>
      <c r="AB3" s="792"/>
      <c r="AC3" s="793"/>
      <c r="AD3" s="790"/>
      <c r="AE3" s="791"/>
      <c r="AF3" s="792"/>
      <c r="AG3" s="791"/>
      <c r="AH3" s="792"/>
      <c r="AI3" s="793"/>
      <c r="AJ3" s="790"/>
      <c r="AK3" s="791"/>
      <c r="AL3" s="792"/>
      <c r="AM3" s="791"/>
      <c r="AN3" s="792"/>
      <c r="AO3" s="791"/>
      <c r="AP3" s="792"/>
      <c r="AQ3" s="791"/>
      <c r="AR3" s="792"/>
      <c r="AS3" s="791"/>
      <c r="AT3" s="792"/>
      <c r="AU3" s="791"/>
      <c r="AV3" s="792"/>
      <c r="AW3" s="791"/>
      <c r="AX3" s="792"/>
      <c r="AY3" s="791"/>
      <c r="AZ3" s="792"/>
      <c r="BA3" s="793"/>
    </row>
    <row r="4" spans="1:53" x14ac:dyDescent="0.3">
      <c r="A4" s="302" t="s">
        <v>271</v>
      </c>
      <c r="B4" s="794"/>
      <c r="C4" s="795"/>
      <c r="D4" s="796"/>
      <c r="E4" s="795"/>
      <c r="F4" s="796"/>
      <c r="G4" s="795"/>
      <c r="H4" s="796"/>
      <c r="I4" s="795"/>
      <c r="J4" s="796"/>
      <c r="K4" s="795"/>
      <c r="L4" s="796"/>
      <c r="M4" s="797"/>
      <c r="N4" s="796"/>
      <c r="O4" s="797"/>
      <c r="P4" s="794"/>
      <c r="Q4" s="797"/>
      <c r="R4" s="794"/>
      <c r="S4" s="797"/>
      <c r="T4" s="794"/>
      <c r="U4" s="797"/>
      <c r="V4" s="794"/>
      <c r="W4" s="797"/>
      <c r="X4" s="794"/>
      <c r="Y4" s="795"/>
      <c r="Z4" s="796"/>
      <c r="AA4" s="795"/>
      <c r="AB4" s="796"/>
      <c r="AC4" s="797"/>
      <c r="AD4" s="794"/>
      <c r="AE4" s="795"/>
      <c r="AF4" s="796"/>
      <c r="AG4" s="795"/>
      <c r="AH4" s="796"/>
      <c r="AI4" s="797"/>
      <c r="AJ4" s="794"/>
      <c r="AK4" s="795"/>
      <c r="AL4" s="796"/>
      <c r="AM4" s="795"/>
      <c r="AN4" s="796"/>
      <c r="AO4" s="795"/>
      <c r="AP4" s="796"/>
      <c r="AQ4" s="795"/>
      <c r="AR4" s="796"/>
      <c r="AS4" s="795"/>
      <c r="AT4" s="796"/>
      <c r="AU4" s="795"/>
      <c r="AV4" s="796"/>
      <c r="AW4" s="795"/>
      <c r="AX4" s="796"/>
      <c r="AY4" s="795"/>
      <c r="AZ4" s="796"/>
      <c r="BA4" s="797"/>
    </row>
    <row r="5" spans="1:53" x14ac:dyDescent="0.3">
      <c r="A5" s="302" t="s">
        <v>272</v>
      </c>
      <c r="B5" s="798">
        <v>190121</v>
      </c>
      <c r="C5" s="798">
        <v>190120.8</v>
      </c>
      <c r="D5" s="796">
        <v>147164</v>
      </c>
      <c r="E5" s="795">
        <v>146784.39000000001</v>
      </c>
      <c r="F5" s="796">
        <v>200490</v>
      </c>
      <c r="G5" s="795">
        <v>200490</v>
      </c>
      <c r="H5" s="796">
        <v>15071</v>
      </c>
      <c r="I5" s="795">
        <v>15070.9</v>
      </c>
      <c r="J5" s="796">
        <v>333120</v>
      </c>
      <c r="K5" s="795">
        <f>29912010/100</f>
        <v>299120.09999999998</v>
      </c>
      <c r="L5" s="796">
        <v>95000</v>
      </c>
      <c r="M5" s="797">
        <v>95000</v>
      </c>
      <c r="N5" s="796">
        <v>37406</v>
      </c>
      <c r="O5" s="797">
        <v>37406.19</v>
      </c>
      <c r="P5" s="794">
        <v>46555</v>
      </c>
      <c r="Q5" s="797">
        <v>31262.09</v>
      </c>
      <c r="R5" s="794">
        <v>185000</v>
      </c>
      <c r="S5" s="797">
        <f>R5</f>
        <v>185000</v>
      </c>
      <c r="T5" s="794">
        <v>196582</v>
      </c>
      <c r="U5" s="797">
        <v>193582.06</v>
      </c>
      <c r="V5" s="794">
        <v>202479</v>
      </c>
      <c r="W5" s="797">
        <v>202045.61</v>
      </c>
      <c r="X5" s="794">
        <v>143729</v>
      </c>
      <c r="Y5" s="795">
        <v>143590.32</v>
      </c>
      <c r="Z5" s="796">
        <v>80000</v>
      </c>
      <c r="AA5" s="795">
        <f>Z5</f>
        <v>80000</v>
      </c>
      <c r="AB5" s="796">
        <v>66346</v>
      </c>
      <c r="AC5" s="797">
        <v>66346.149999999994</v>
      </c>
      <c r="AD5" s="794">
        <v>51029</v>
      </c>
      <c r="AE5" s="795">
        <v>51029.02</v>
      </c>
      <c r="AF5" s="796">
        <v>191881</v>
      </c>
      <c r="AG5" s="795">
        <v>191881.29</v>
      </c>
      <c r="AH5" s="796">
        <v>201288</v>
      </c>
      <c r="AI5" s="797">
        <f>AH5</f>
        <v>201288</v>
      </c>
      <c r="AJ5" s="794">
        <v>119632</v>
      </c>
      <c r="AK5" s="795">
        <v>119632.35</v>
      </c>
      <c r="AL5" s="796"/>
      <c r="AM5" s="795"/>
      <c r="AN5" s="796">
        <v>100028</v>
      </c>
      <c r="AO5" s="795">
        <v>100005.87</v>
      </c>
      <c r="AP5" s="796">
        <v>17763</v>
      </c>
      <c r="AQ5" s="795">
        <v>17613.810000000001</v>
      </c>
      <c r="AR5" s="796">
        <v>25896</v>
      </c>
      <c r="AS5" s="795">
        <v>2589641</v>
      </c>
      <c r="AT5" s="796">
        <v>195350</v>
      </c>
      <c r="AU5" s="795">
        <f>AT5</f>
        <v>195350</v>
      </c>
      <c r="AV5" s="796">
        <f t="shared" ref="AV5:AW67" si="0">B5+D5+F5+H5+J5+L5+N5+P5+R5+T5+V5+X5+Z5+AB5+AD5+AF5+AH5+AJ5+AL5+AN5+AP5+AR5+AT5</f>
        <v>2841930</v>
      </c>
      <c r="AW5" s="795">
        <f t="shared" si="0"/>
        <v>5352259.9499999993</v>
      </c>
      <c r="AX5" s="796">
        <v>632499</v>
      </c>
      <c r="AY5" s="795">
        <v>10000</v>
      </c>
      <c r="AZ5" s="796">
        <f>AV5+AX5</f>
        <v>3474429</v>
      </c>
      <c r="BA5" s="797">
        <f>AW5+AY5</f>
        <v>5362259.9499999993</v>
      </c>
    </row>
    <row r="6" spans="1:53" x14ac:dyDescent="0.3">
      <c r="A6" s="302" t="s">
        <v>273</v>
      </c>
      <c r="B6" s="798"/>
      <c r="C6" s="798"/>
      <c r="D6" s="796"/>
      <c r="E6" s="795"/>
      <c r="F6" s="796"/>
      <c r="G6" s="795"/>
      <c r="H6" s="796"/>
      <c r="I6" s="795"/>
      <c r="J6" s="796"/>
      <c r="K6" s="795"/>
      <c r="L6" s="796"/>
      <c r="M6" s="797"/>
      <c r="N6" s="796"/>
      <c r="O6" s="797"/>
      <c r="P6" s="794">
        <v>20000</v>
      </c>
      <c r="Q6" s="797"/>
      <c r="R6" s="794"/>
      <c r="S6" s="797"/>
      <c r="T6" s="794"/>
      <c r="U6" s="797"/>
      <c r="V6" s="794">
        <v>1265</v>
      </c>
      <c r="W6" s="797">
        <v>90.12</v>
      </c>
      <c r="X6" s="794"/>
      <c r="Y6" s="795">
        <v>122.36</v>
      </c>
      <c r="Z6" s="796"/>
      <c r="AA6" s="795"/>
      <c r="AB6" s="796"/>
      <c r="AC6" s="797"/>
      <c r="AD6" s="794"/>
      <c r="AE6" s="795"/>
      <c r="AF6" s="796"/>
      <c r="AG6" s="795"/>
      <c r="AH6" s="796"/>
      <c r="AI6" s="797"/>
      <c r="AJ6" s="794"/>
      <c r="AK6" s="795"/>
      <c r="AL6" s="796"/>
      <c r="AM6" s="795"/>
      <c r="AN6" s="796"/>
      <c r="AO6" s="795"/>
      <c r="AP6" s="796"/>
      <c r="AQ6" s="795"/>
      <c r="AR6" s="796"/>
      <c r="AS6" s="795"/>
      <c r="AT6" s="796"/>
      <c r="AU6" s="795"/>
      <c r="AV6" s="796">
        <f t="shared" si="0"/>
        <v>21265</v>
      </c>
      <c r="AW6" s="795">
        <f t="shared" si="0"/>
        <v>212.48000000000002</v>
      </c>
      <c r="AX6" s="796"/>
      <c r="AY6" s="795"/>
      <c r="AZ6" s="796">
        <f t="shared" ref="AZ6:BA67" si="1">AV6+AX6</f>
        <v>21265</v>
      </c>
      <c r="BA6" s="797">
        <f t="shared" si="1"/>
        <v>212.48000000000002</v>
      </c>
    </row>
    <row r="7" spans="1:53" x14ac:dyDescent="0.3">
      <c r="A7" s="302" t="s">
        <v>274</v>
      </c>
      <c r="B7" s="798">
        <v>55353</v>
      </c>
      <c r="C7" s="798">
        <v>37028.86</v>
      </c>
      <c r="D7" s="796">
        <v>106061</v>
      </c>
      <c r="E7" s="795">
        <v>87637.05</v>
      </c>
      <c r="F7" s="796"/>
      <c r="G7" s="795"/>
      <c r="H7" s="796">
        <v>1032667</v>
      </c>
      <c r="I7" s="795">
        <v>1011570.01</v>
      </c>
      <c r="J7" s="796">
        <v>21203</v>
      </c>
      <c r="K7" s="795">
        <v>21208.83</v>
      </c>
      <c r="L7" s="796">
        <v>18585</v>
      </c>
      <c r="M7" s="797">
        <v>12500</v>
      </c>
      <c r="N7" s="796">
        <v>83292</v>
      </c>
      <c r="O7" s="797">
        <v>83292.17</v>
      </c>
      <c r="P7" s="794">
        <v>171192</v>
      </c>
      <c r="Q7" s="797">
        <v>168485</v>
      </c>
      <c r="R7" s="794"/>
      <c r="S7" s="797"/>
      <c r="T7" s="794">
        <v>10000</v>
      </c>
      <c r="U7" s="797"/>
      <c r="V7" s="794">
        <v>701621</v>
      </c>
      <c r="W7" s="797">
        <v>606724.91</v>
      </c>
      <c r="X7" s="794">
        <v>739079</v>
      </c>
      <c r="Y7" s="795">
        <v>699431.74</v>
      </c>
      <c r="Z7" s="796">
        <v>16479</v>
      </c>
      <c r="AA7" s="795">
        <v>14363</v>
      </c>
      <c r="AB7" s="796">
        <v>28000</v>
      </c>
      <c r="AC7" s="797">
        <v>28000</v>
      </c>
      <c r="AD7" s="794">
        <v>350959</v>
      </c>
      <c r="AE7" s="795">
        <v>298701.03000000003</v>
      </c>
      <c r="AF7" s="796">
        <v>114370</v>
      </c>
      <c r="AG7" s="795">
        <v>114506.27</v>
      </c>
      <c r="AH7" s="796">
        <v>434</v>
      </c>
      <c r="AI7" s="797">
        <v>441.82</v>
      </c>
      <c r="AJ7" s="794">
        <v>30316</v>
      </c>
      <c r="AK7" s="795">
        <v>30315.919999999998</v>
      </c>
      <c r="AL7" s="796"/>
      <c r="AM7" s="795"/>
      <c r="AN7" s="796">
        <v>994024</v>
      </c>
      <c r="AO7" s="795">
        <v>880939.66</v>
      </c>
      <c r="AP7" s="796">
        <v>45751</v>
      </c>
      <c r="AQ7" s="795">
        <v>49054.45</v>
      </c>
      <c r="AR7" s="796">
        <v>32348</v>
      </c>
      <c r="AS7" s="795">
        <v>3763758</v>
      </c>
      <c r="AT7" s="796">
        <v>2596</v>
      </c>
      <c r="AU7" s="795">
        <v>7487.11</v>
      </c>
      <c r="AV7" s="796">
        <f t="shared" si="0"/>
        <v>4554330</v>
      </c>
      <c r="AW7" s="795">
        <f t="shared" si="0"/>
        <v>7915445.830000001</v>
      </c>
      <c r="AX7" s="796">
        <v>167150</v>
      </c>
      <c r="AY7" s="795">
        <v>62905.85</v>
      </c>
      <c r="AZ7" s="796">
        <f t="shared" si="1"/>
        <v>4721480</v>
      </c>
      <c r="BA7" s="797">
        <f t="shared" si="1"/>
        <v>7978351.6800000006</v>
      </c>
    </row>
    <row r="8" spans="1:53" x14ac:dyDescent="0.3">
      <c r="A8" s="302" t="s">
        <v>275</v>
      </c>
      <c r="B8" s="798">
        <v>3139</v>
      </c>
      <c r="C8" s="798">
        <v>2545.2399999999998</v>
      </c>
      <c r="D8" s="796"/>
      <c r="E8" s="795"/>
      <c r="F8" s="796"/>
      <c r="G8" s="795">
        <v>47</v>
      </c>
      <c r="H8" s="796">
        <v>50864</v>
      </c>
      <c r="I8" s="795">
        <v>44387.44</v>
      </c>
      <c r="J8" s="796">
        <v>200</v>
      </c>
      <c r="K8" s="795">
        <v>159.24</v>
      </c>
      <c r="L8" s="796">
        <v>16</v>
      </c>
      <c r="M8" s="797">
        <v>83.1</v>
      </c>
      <c r="N8" s="796">
        <v>718</v>
      </c>
      <c r="O8" s="797">
        <v>-134.69</v>
      </c>
      <c r="P8" s="794">
        <v>1647</v>
      </c>
      <c r="Q8" s="797">
        <v>921.49</v>
      </c>
      <c r="R8" s="794"/>
      <c r="S8" s="797">
        <v>3</v>
      </c>
      <c r="T8" s="794">
        <v>-1</v>
      </c>
      <c r="U8" s="797">
        <v>-50.47</v>
      </c>
      <c r="V8" s="794">
        <v>13646</v>
      </c>
      <c r="W8" s="797">
        <v>22813.69</v>
      </c>
      <c r="X8" s="794">
        <v>25086</v>
      </c>
      <c r="Y8" s="795">
        <v>47619.05</v>
      </c>
      <c r="Z8" s="796">
        <v>316</v>
      </c>
      <c r="AA8" s="795">
        <v>-35</v>
      </c>
      <c r="AB8" s="796">
        <v>70</v>
      </c>
      <c r="AC8" s="797">
        <v>153.05000000000001</v>
      </c>
      <c r="AD8" s="794">
        <v>33</v>
      </c>
      <c r="AE8" s="795">
        <v>-51.71</v>
      </c>
      <c r="AF8" s="796">
        <v>257</v>
      </c>
      <c r="AG8" s="795">
        <v>2506.9299999999998</v>
      </c>
      <c r="AH8" s="796">
        <v>828</v>
      </c>
      <c r="AI8" s="797">
        <v>232.44</v>
      </c>
      <c r="AJ8" s="794">
        <v>3421</v>
      </c>
      <c r="AK8" s="795">
        <v>709.59</v>
      </c>
      <c r="AL8" s="796"/>
      <c r="AM8" s="795"/>
      <c r="AN8" s="796">
        <v>25822</v>
      </c>
      <c r="AO8" s="795">
        <v>32376.86</v>
      </c>
      <c r="AP8" s="796">
        <v>2070</v>
      </c>
      <c r="AQ8" s="795">
        <v>3011.04</v>
      </c>
      <c r="AR8" s="796">
        <v>130</v>
      </c>
      <c r="AS8" s="795">
        <v>363</v>
      </c>
      <c r="AT8" s="796"/>
      <c r="AU8" s="795"/>
      <c r="AV8" s="796">
        <f t="shared" si="0"/>
        <v>128262</v>
      </c>
      <c r="AW8" s="795">
        <f t="shared" si="0"/>
        <v>157660.29</v>
      </c>
      <c r="AX8" s="796">
        <v>5388</v>
      </c>
      <c r="AY8" s="795">
        <v>3999.33</v>
      </c>
      <c r="AZ8" s="796">
        <f t="shared" si="1"/>
        <v>133650</v>
      </c>
      <c r="BA8" s="797">
        <f t="shared" si="1"/>
        <v>161659.62</v>
      </c>
    </row>
    <row r="9" spans="1:53" x14ac:dyDescent="0.3">
      <c r="A9" s="302" t="s">
        <v>276</v>
      </c>
      <c r="B9" s="798"/>
      <c r="C9" s="799"/>
      <c r="D9" s="796"/>
      <c r="E9" s="795"/>
      <c r="F9" s="796"/>
      <c r="G9" s="795"/>
      <c r="H9" s="796"/>
      <c r="I9" s="795"/>
      <c r="J9" s="796"/>
      <c r="K9" s="795"/>
      <c r="L9" s="796"/>
      <c r="M9" s="797"/>
      <c r="N9" s="796"/>
      <c r="O9" s="797"/>
      <c r="P9" s="794"/>
      <c r="Q9" s="797"/>
      <c r="R9" s="794"/>
      <c r="S9" s="797"/>
      <c r="T9" s="794"/>
      <c r="U9" s="797"/>
      <c r="V9" s="794"/>
      <c r="W9" s="797"/>
      <c r="X9" s="794"/>
      <c r="Y9" s="795">
        <v>0.1</v>
      </c>
      <c r="Z9" s="796"/>
      <c r="AA9" s="800"/>
      <c r="AB9" s="796"/>
      <c r="AC9" s="797"/>
      <c r="AD9" s="794"/>
      <c r="AE9" s="795"/>
      <c r="AF9" s="796"/>
      <c r="AG9" s="795"/>
      <c r="AH9" s="796"/>
      <c r="AI9" s="797"/>
      <c r="AJ9" s="794"/>
      <c r="AK9" s="795"/>
      <c r="AL9" s="796"/>
      <c r="AM9" s="795"/>
      <c r="AN9" s="796"/>
      <c r="AO9" s="795"/>
      <c r="AP9" s="796"/>
      <c r="AQ9" s="795"/>
      <c r="AR9" s="796"/>
      <c r="AS9" s="795"/>
      <c r="AT9" s="796"/>
      <c r="AU9" s="795"/>
      <c r="AV9" s="796"/>
      <c r="AW9" s="795"/>
      <c r="AX9" s="796"/>
      <c r="AY9" s="795"/>
      <c r="AZ9" s="796"/>
      <c r="BA9" s="797"/>
    </row>
    <row r="10" spans="1:53" s="59" customFormat="1" x14ac:dyDescent="0.3">
      <c r="A10" s="711" t="s">
        <v>277</v>
      </c>
      <c r="B10" s="801">
        <f t="shared" ref="B10:W10" si="2">SUM(B5:B8)</f>
        <v>248613</v>
      </c>
      <c r="C10" s="802">
        <f t="shared" si="2"/>
        <v>229694.89999999997</v>
      </c>
      <c r="D10" s="803">
        <f t="shared" si="2"/>
        <v>253225</v>
      </c>
      <c r="E10" s="802">
        <f t="shared" si="2"/>
        <v>234421.44</v>
      </c>
      <c r="F10" s="803">
        <f t="shared" si="2"/>
        <v>200490</v>
      </c>
      <c r="G10" s="802">
        <f t="shared" si="2"/>
        <v>200537</v>
      </c>
      <c r="H10" s="803">
        <f t="shared" si="2"/>
        <v>1098602</v>
      </c>
      <c r="I10" s="802">
        <v>1071028.3500000001</v>
      </c>
      <c r="J10" s="803">
        <f t="shared" si="2"/>
        <v>354523</v>
      </c>
      <c r="K10" s="802">
        <f t="shared" si="2"/>
        <v>320488.17</v>
      </c>
      <c r="L10" s="803">
        <f t="shared" si="2"/>
        <v>113601</v>
      </c>
      <c r="M10" s="804">
        <f t="shared" si="2"/>
        <v>107583.1</v>
      </c>
      <c r="N10" s="803">
        <f t="shared" si="2"/>
        <v>121416</v>
      </c>
      <c r="O10" s="804">
        <f t="shared" si="2"/>
        <v>120563.67</v>
      </c>
      <c r="P10" s="801">
        <f t="shared" si="2"/>
        <v>239394</v>
      </c>
      <c r="Q10" s="804">
        <f t="shared" si="2"/>
        <v>200668.58</v>
      </c>
      <c r="R10" s="801">
        <f t="shared" si="2"/>
        <v>185000</v>
      </c>
      <c r="S10" s="804">
        <f t="shared" si="2"/>
        <v>185003</v>
      </c>
      <c r="T10" s="801">
        <f t="shared" si="2"/>
        <v>206581</v>
      </c>
      <c r="U10" s="804">
        <f t="shared" si="2"/>
        <v>193531.59</v>
      </c>
      <c r="V10" s="801">
        <f t="shared" si="2"/>
        <v>919011</v>
      </c>
      <c r="W10" s="804">
        <f t="shared" si="2"/>
        <v>831674.33</v>
      </c>
      <c r="X10" s="801">
        <f>SUM(X5:X9)</f>
        <v>907894</v>
      </c>
      <c r="Y10" s="802">
        <f>SUM(Y5:Y9)</f>
        <v>890763.57</v>
      </c>
      <c r="Z10" s="802">
        <f t="shared" ref="Z10:AO10" si="3">SUM(Z5:Z9)</f>
        <v>96795</v>
      </c>
      <c r="AA10" s="802">
        <f t="shared" si="3"/>
        <v>94328</v>
      </c>
      <c r="AB10" s="802">
        <f t="shared" si="3"/>
        <v>94416</v>
      </c>
      <c r="AC10" s="802">
        <f t="shared" si="3"/>
        <v>94499.199999999997</v>
      </c>
      <c r="AD10" s="802">
        <f t="shared" si="3"/>
        <v>402021</v>
      </c>
      <c r="AE10" s="802">
        <f t="shared" si="3"/>
        <v>349678.34</v>
      </c>
      <c r="AF10" s="802">
        <f t="shared" si="3"/>
        <v>306508</v>
      </c>
      <c r="AG10" s="802">
        <f t="shared" si="3"/>
        <v>308894.49</v>
      </c>
      <c r="AH10" s="1029">
        <f t="shared" si="3"/>
        <v>202550</v>
      </c>
      <c r="AI10" s="804">
        <f t="shared" si="3"/>
        <v>201962.26</v>
      </c>
      <c r="AJ10" s="1028">
        <f t="shared" si="3"/>
        <v>153369</v>
      </c>
      <c r="AK10" s="802">
        <f t="shared" si="3"/>
        <v>150657.86000000002</v>
      </c>
      <c r="AL10" s="802">
        <f t="shared" si="3"/>
        <v>0</v>
      </c>
      <c r="AM10" s="802">
        <f t="shared" si="3"/>
        <v>0</v>
      </c>
      <c r="AN10" s="802">
        <f t="shared" si="3"/>
        <v>1119874</v>
      </c>
      <c r="AO10" s="802">
        <f t="shared" si="3"/>
        <v>1013322.39</v>
      </c>
      <c r="AP10" s="805">
        <f t="shared" ref="AP10:AU10" si="4">SUM(AP5:AP8)</f>
        <v>65584</v>
      </c>
      <c r="AQ10" s="808">
        <f t="shared" si="4"/>
        <v>69679.299999999988</v>
      </c>
      <c r="AR10" s="805">
        <f t="shared" si="4"/>
        <v>58374</v>
      </c>
      <c r="AS10" s="808">
        <f t="shared" si="4"/>
        <v>6353762</v>
      </c>
      <c r="AT10" s="805">
        <f t="shared" si="4"/>
        <v>197946</v>
      </c>
      <c r="AU10" s="808">
        <f t="shared" si="4"/>
        <v>202837.11</v>
      </c>
      <c r="AV10" s="796">
        <f t="shared" si="0"/>
        <v>7545787</v>
      </c>
      <c r="AW10" s="795">
        <f t="shared" si="0"/>
        <v>13425578.649999999</v>
      </c>
      <c r="AX10" s="805">
        <f>SUM(AX5:AX8)</f>
        <v>805037</v>
      </c>
      <c r="AY10" s="808">
        <f>SUM(AY5:AY8)</f>
        <v>76905.180000000008</v>
      </c>
      <c r="AZ10" s="796">
        <f t="shared" si="1"/>
        <v>8350824</v>
      </c>
      <c r="BA10" s="797">
        <f t="shared" si="1"/>
        <v>13502483.829999998</v>
      </c>
    </row>
    <row r="11" spans="1:53" x14ac:dyDescent="0.3">
      <c r="A11" s="302" t="s">
        <v>278</v>
      </c>
      <c r="B11" s="798">
        <v>50000</v>
      </c>
      <c r="C11" s="799"/>
      <c r="D11" s="796">
        <v>7000</v>
      </c>
      <c r="E11" s="795">
        <v>7000</v>
      </c>
      <c r="F11" s="796"/>
      <c r="G11" s="795"/>
      <c r="H11" s="796"/>
      <c r="I11" s="795"/>
      <c r="J11" s="796">
        <v>6000</v>
      </c>
      <c r="K11" s="795">
        <v>6000</v>
      </c>
      <c r="L11" s="796">
        <v>2835</v>
      </c>
      <c r="M11" s="797">
        <v>2853.43</v>
      </c>
      <c r="N11" s="796"/>
      <c r="O11" s="797"/>
      <c r="P11" s="794"/>
      <c r="Q11" s="797"/>
      <c r="R11" s="794"/>
      <c r="S11" s="797"/>
      <c r="T11" s="794">
        <v>3000</v>
      </c>
      <c r="U11" s="797">
        <v>3000</v>
      </c>
      <c r="V11" s="794">
        <v>60000</v>
      </c>
      <c r="W11" s="797">
        <v>60000</v>
      </c>
      <c r="X11" s="794">
        <v>120000</v>
      </c>
      <c r="Y11" s="795">
        <v>120000</v>
      </c>
      <c r="Z11" s="796"/>
      <c r="AA11" s="795"/>
      <c r="AB11" s="796">
        <v>10000</v>
      </c>
      <c r="AC11" s="797">
        <f>AB11</f>
        <v>10000</v>
      </c>
      <c r="AD11" s="794"/>
      <c r="AE11" s="795"/>
      <c r="AF11" s="796">
        <v>49600</v>
      </c>
      <c r="AG11" s="795"/>
      <c r="AH11" s="796"/>
      <c r="AI11" s="797"/>
      <c r="AJ11" s="794"/>
      <c r="AK11" s="795"/>
      <c r="AL11" s="796"/>
      <c r="AM11" s="795"/>
      <c r="AN11" s="796"/>
      <c r="AO11" s="795"/>
      <c r="AP11" s="796"/>
      <c r="AQ11" s="795"/>
      <c r="AR11" s="796">
        <v>12500</v>
      </c>
      <c r="AS11" s="795"/>
      <c r="AT11" s="796"/>
      <c r="AU11" s="795"/>
      <c r="AV11" s="796">
        <f t="shared" si="0"/>
        <v>320935</v>
      </c>
      <c r="AW11" s="795">
        <f t="shared" si="0"/>
        <v>208853.43</v>
      </c>
      <c r="AX11" s="796"/>
      <c r="AY11" s="795"/>
      <c r="AZ11" s="796">
        <f t="shared" si="1"/>
        <v>320935</v>
      </c>
      <c r="BA11" s="797">
        <f t="shared" si="1"/>
        <v>208853.43</v>
      </c>
    </row>
    <row r="12" spans="1:53" x14ac:dyDescent="0.3">
      <c r="A12" s="711" t="s">
        <v>279</v>
      </c>
      <c r="B12" s="798"/>
      <c r="C12" s="799"/>
      <c r="D12" s="796"/>
      <c r="E12" s="795"/>
      <c r="F12" s="796"/>
      <c r="G12" s="795"/>
      <c r="H12" s="796"/>
      <c r="I12" s="795"/>
      <c r="J12" s="796"/>
      <c r="K12" s="795"/>
      <c r="L12" s="796"/>
      <c r="M12" s="797"/>
      <c r="N12" s="796"/>
      <c r="O12" s="797"/>
      <c r="P12" s="794"/>
      <c r="Q12" s="797"/>
      <c r="R12" s="794"/>
      <c r="S12" s="797"/>
      <c r="T12" s="794"/>
      <c r="U12" s="797"/>
      <c r="V12" s="794"/>
      <c r="W12" s="797"/>
      <c r="X12" s="794"/>
      <c r="Y12" s="795"/>
      <c r="Z12" s="796"/>
      <c r="AA12" s="795"/>
      <c r="AB12" s="796"/>
      <c r="AC12" s="797"/>
      <c r="AD12" s="794"/>
      <c r="AE12" s="795"/>
      <c r="AF12" s="796"/>
      <c r="AG12" s="795"/>
      <c r="AH12" s="796"/>
      <c r="AI12" s="797"/>
      <c r="AJ12" s="794"/>
      <c r="AK12" s="795"/>
      <c r="AL12" s="796"/>
      <c r="AM12" s="795"/>
      <c r="AN12" s="796"/>
      <c r="AO12" s="795"/>
      <c r="AP12" s="796"/>
      <c r="AQ12" s="795"/>
      <c r="AR12" s="796"/>
      <c r="AS12" s="795"/>
      <c r="AT12" s="796"/>
      <c r="AU12" s="795"/>
      <c r="AV12" s="796">
        <f t="shared" si="0"/>
        <v>0</v>
      </c>
      <c r="AW12" s="795">
        <f t="shared" si="0"/>
        <v>0</v>
      </c>
      <c r="AX12" s="796"/>
      <c r="AY12" s="795"/>
      <c r="AZ12" s="796">
        <f t="shared" si="1"/>
        <v>0</v>
      </c>
      <c r="BA12" s="797">
        <f t="shared" si="1"/>
        <v>0</v>
      </c>
    </row>
    <row r="13" spans="1:53" x14ac:dyDescent="0.3">
      <c r="A13" s="302" t="s">
        <v>275</v>
      </c>
      <c r="B13" s="798">
        <v>23609</v>
      </c>
      <c r="C13" s="799">
        <v>31212.73</v>
      </c>
      <c r="D13" s="796">
        <v>-6</v>
      </c>
      <c r="E13" s="795">
        <v>349.12</v>
      </c>
      <c r="F13" s="796">
        <v>105</v>
      </c>
      <c r="G13" s="795">
        <v>433</v>
      </c>
      <c r="H13" s="796">
        <v>228088</v>
      </c>
      <c r="I13" s="795">
        <v>183186.63</v>
      </c>
      <c r="J13" s="796">
        <v>2898</v>
      </c>
      <c r="K13" s="795">
        <v>6341.53</v>
      </c>
      <c r="L13" s="796"/>
      <c r="M13" s="797"/>
      <c r="N13" s="796">
        <v>36</v>
      </c>
      <c r="O13" s="797">
        <v>142</v>
      </c>
      <c r="P13" s="794">
        <v>5031</v>
      </c>
      <c r="Q13" s="797">
        <v>3819.73</v>
      </c>
      <c r="R13" s="794">
        <v>13144</v>
      </c>
      <c r="S13" s="797">
        <v>4733</v>
      </c>
      <c r="T13" s="794">
        <v>25</v>
      </c>
      <c r="U13" s="797">
        <v>-168.44</v>
      </c>
      <c r="V13" s="794">
        <v>253448</v>
      </c>
      <c r="W13" s="797">
        <v>273861.87</v>
      </c>
      <c r="X13" s="794">
        <v>313614</v>
      </c>
      <c r="Y13" s="795">
        <v>323533.65000000002</v>
      </c>
      <c r="Z13" s="796">
        <v>3521</v>
      </c>
      <c r="AA13" s="795">
        <v>202.28</v>
      </c>
      <c r="AB13" s="796">
        <v>394</v>
      </c>
      <c r="AC13" s="797">
        <v>1769.26</v>
      </c>
      <c r="AD13" s="794">
        <v>25376</v>
      </c>
      <c r="AE13" s="795">
        <v>17675.3</v>
      </c>
      <c r="AF13" s="796">
        <v>92570</v>
      </c>
      <c r="AG13" s="795">
        <v>108983.01</v>
      </c>
      <c r="AH13" s="796">
        <v>33582</v>
      </c>
      <c r="AI13" s="797">
        <v>22913.4</v>
      </c>
      <c r="AJ13" s="794">
        <v>17150</v>
      </c>
      <c r="AK13" s="795">
        <v>4.83</v>
      </c>
      <c r="AL13" s="796"/>
      <c r="AM13" s="795"/>
      <c r="AN13" s="796">
        <v>341038</v>
      </c>
      <c r="AO13" s="795">
        <v>238365.4</v>
      </c>
      <c r="AP13" s="796">
        <v>7357</v>
      </c>
      <c r="AQ13" s="795">
        <v>4540.8</v>
      </c>
      <c r="AR13" s="796">
        <v>1481</v>
      </c>
      <c r="AS13" s="795">
        <v>79.489999999999995</v>
      </c>
      <c r="AT13" s="796">
        <v>168050</v>
      </c>
      <c r="AU13" s="795">
        <v>130985.35</v>
      </c>
      <c r="AV13" s="796">
        <f t="shared" si="0"/>
        <v>1530511</v>
      </c>
      <c r="AW13" s="795">
        <f t="shared" si="0"/>
        <v>1352963.9400000002</v>
      </c>
      <c r="AX13" s="796">
        <v>38211815</v>
      </c>
      <c r="AY13" s="795">
        <v>21230170.629999999</v>
      </c>
      <c r="AZ13" s="796">
        <f t="shared" si="1"/>
        <v>39742326</v>
      </c>
      <c r="BA13" s="797">
        <f t="shared" si="1"/>
        <v>22583134.57</v>
      </c>
    </row>
    <row r="14" spans="1:53" x14ac:dyDescent="0.3">
      <c r="A14" s="302" t="s">
        <v>280</v>
      </c>
      <c r="B14" s="798"/>
      <c r="C14" s="799"/>
      <c r="D14" s="796"/>
      <c r="E14" s="795"/>
      <c r="F14" s="796"/>
      <c r="G14" s="795"/>
      <c r="H14" s="796"/>
      <c r="I14" s="795"/>
      <c r="J14" s="796"/>
      <c r="K14" s="795"/>
      <c r="L14" s="796"/>
      <c r="M14" s="797"/>
      <c r="N14" s="796"/>
      <c r="O14" s="797"/>
      <c r="P14" s="794"/>
      <c r="Q14" s="797"/>
      <c r="R14" s="794"/>
      <c r="S14" s="797"/>
      <c r="T14" s="794"/>
      <c r="U14" s="797"/>
      <c r="V14" s="794"/>
      <c r="W14" s="797"/>
      <c r="X14" s="794"/>
      <c r="Y14" s="795">
        <v>6551.99</v>
      </c>
      <c r="Z14" s="796"/>
      <c r="AA14" s="795"/>
      <c r="AB14" s="796"/>
      <c r="AC14" s="797"/>
      <c r="AD14" s="794">
        <v>4974</v>
      </c>
      <c r="AE14" s="795">
        <v>4331.3900000000003</v>
      </c>
      <c r="AF14" s="796"/>
      <c r="AG14" s="795">
        <v>222.48</v>
      </c>
      <c r="AH14" s="796"/>
      <c r="AI14" s="797"/>
      <c r="AJ14" s="794"/>
      <c r="AK14" s="795"/>
      <c r="AL14" s="796"/>
      <c r="AM14" s="795"/>
      <c r="AN14" s="796"/>
      <c r="AO14" s="795"/>
      <c r="AP14" s="796"/>
      <c r="AQ14" s="795"/>
      <c r="AR14" s="796"/>
      <c r="AS14" s="795"/>
      <c r="AT14" s="796"/>
      <c r="AU14" s="795"/>
      <c r="AV14" s="796">
        <f t="shared" si="0"/>
        <v>4974</v>
      </c>
      <c r="AW14" s="795">
        <f t="shared" si="0"/>
        <v>11105.86</v>
      </c>
      <c r="AX14" s="796"/>
      <c r="AY14" s="795"/>
      <c r="AZ14" s="796">
        <f t="shared" si="1"/>
        <v>4974</v>
      </c>
      <c r="BA14" s="797">
        <f t="shared" si="1"/>
        <v>11105.86</v>
      </c>
    </row>
    <row r="15" spans="1:53" x14ac:dyDescent="0.3">
      <c r="A15" s="302" t="s">
        <v>281</v>
      </c>
      <c r="B15" s="798">
        <v>2614698</v>
      </c>
      <c r="C15" s="799">
        <v>2094839.7</v>
      </c>
      <c r="D15" s="796"/>
      <c r="E15" s="795"/>
      <c r="F15" s="796"/>
      <c r="G15" s="795"/>
      <c r="H15" s="796">
        <v>3644761</v>
      </c>
      <c r="I15" s="795">
        <v>3026604.18</v>
      </c>
      <c r="J15" s="796"/>
      <c r="K15" s="795"/>
      <c r="L15" s="796"/>
      <c r="M15" s="797"/>
      <c r="N15" s="796"/>
      <c r="O15" s="797"/>
      <c r="P15" s="794"/>
      <c r="Q15" s="797"/>
      <c r="R15" s="794"/>
      <c r="S15" s="797"/>
      <c r="T15" s="794"/>
      <c r="U15" s="797"/>
      <c r="V15" s="794"/>
      <c r="W15" s="797"/>
      <c r="X15" s="794"/>
      <c r="Y15" s="795"/>
      <c r="Z15" s="796"/>
      <c r="AA15" s="795"/>
      <c r="AB15" s="796"/>
      <c r="AC15" s="797"/>
      <c r="AD15" s="794"/>
      <c r="AE15" s="795"/>
      <c r="AF15" s="796"/>
      <c r="AG15" s="795"/>
      <c r="AH15" s="796"/>
      <c r="AI15" s="797"/>
      <c r="AJ15" s="794"/>
      <c r="AK15" s="795"/>
      <c r="AL15" s="796"/>
      <c r="AM15" s="795"/>
      <c r="AN15" s="796"/>
      <c r="AO15" s="795"/>
      <c r="AP15" s="796"/>
      <c r="AQ15" s="795"/>
      <c r="AR15" s="796"/>
      <c r="AS15" s="795"/>
      <c r="AT15" s="796"/>
      <c r="AU15" s="795"/>
      <c r="AV15" s="796">
        <f t="shared" si="0"/>
        <v>6259459</v>
      </c>
      <c r="AW15" s="795">
        <f t="shared" si="0"/>
        <v>5121443.88</v>
      </c>
      <c r="AX15" s="796"/>
      <c r="AY15" s="795"/>
      <c r="AZ15" s="796">
        <f t="shared" si="1"/>
        <v>6259459</v>
      </c>
      <c r="BA15" s="797">
        <f t="shared" si="1"/>
        <v>5121443.88</v>
      </c>
    </row>
    <row r="16" spans="1:53" x14ac:dyDescent="0.3">
      <c r="A16" s="302" t="s">
        <v>282</v>
      </c>
      <c r="B16" s="798"/>
      <c r="C16" s="799"/>
      <c r="D16" s="796"/>
      <c r="E16" s="795"/>
      <c r="F16" s="796">
        <v>4553</v>
      </c>
      <c r="G16" s="795">
        <v>324</v>
      </c>
      <c r="H16" s="796"/>
      <c r="I16" s="795"/>
      <c r="J16" s="796"/>
      <c r="K16" s="795"/>
      <c r="L16" s="796">
        <v>7548</v>
      </c>
      <c r="M16" s="797">
        <v>14481.57</v>
      </c>
      <c r="N16" s="796"/>
      <c r="O16" s="797"/>
      <c r="P16" s="794"/>
      <c r="Q16" s="797"/>
      <c r="R16" s="794"/>
      <c r="S16" s="797"/>
      <c r="T16" s="794"/>
      <c r="U16" s="797"/>
      <c r="V16" s="794"/>
      <c r="W16" s="797"/>
      <c r="X16" s="794"/>
      <c r="Y16" s="795"/>
      <c r="Z16" s="796"/>
      <c r="AA16" s="795"/>
      <c r="AB16" s="796"/>
      <c r="AC16" s="797"/>
      <c r="AD16" s="794"/>
      <c r="AE16" s="795"/>
      <c r="AF16" s="796"/>
      <c r="AG16" s="795"/>
      <c r="AH16" s="796"/>
      <c r="AI16" s="797"/>
      <c r="AJ16" s="794"/>
      <c r="AK16" s="795"/>
      <c r="AL16" s="796"/>
      <c r="AM16" s="795"/>
      <c r="AN16" s="796"/>
      <c r="AO16" s="795"/>
      <c r="AP16" s="796"/>
      <c r="AQ16" s="795"/>
      <c r="AR16" s="796"/>
      <c r="AS16" s="795"/>
      <c r="AT16" s="796"/>
      <c r="AU16" s="795"/>
      <c r="AV16" s="796">
        <f t="shared" si="0"/>
        <v>12101</v>
      </c>
      <c r="AW16" s="795">
        <f t="shared" si="0"/>
        <v>14805.57</v>
      </c>
      <c r="AX16" s="796"/>
      <c r="AY16" s="795"/>
      <c r="AZ16" s="796">
        <f t="shared" si="1"/>
        <v>12101</v>
      </c>
      <c r="BA16" s="797">
        <f t="shared" si="1"/>
        <v>14805.57</v>
      </c>
    </row>
    <row r="17" spans="1:53" x14ac:dyDescent="0.3">
      <c r="A17" s="711" t="s">
        <v>281</v>
      </c>
      <c r="B17" s="798"/>
      <c r="C17" s="799"/>
      <c r="D17" s="796">
        <v>195649</v>
      </c>
      <c r="E17" s="795">
        <v>167326.69</v>
      </c>
      <c r="F17" s="796"/>
      <c r="G17" s="795"/>
      <c r="H17" s="796"/>
      <c r="I17" s="795"/>
      <c r="J17" s="796">
        <v>842926</v>
      </c>
      <c r="K17" s="795">
        <v>684998.8</v>
      </c>
      <c r="L17" s="796">
        <f>7524+604+144097+498489+3737+320904+89477+525</f>
        <v>1065357</v>
      </c>
      <c r="M17" s="797">
        <v>792578.72</v>
      </c>
      <c r="N17" s="796">
        <v>481204</v>
      </c>
      <c r="O17" s="797">
        <v>416865.8</v>
      </c>
      <c r="P17" s="794">
        <v>316153</v>
      </c>
      <c r="Q17" s="797">
        <v>240173.02</v>
      </c>
      <c r="R17" s="794">
        <f>964137+2771+431452+24054+71203+106928</f>
        <v>1600545</v>
      </c>
      <c r="S17" s="797">
        <v>1405802.38</v>
      </c>
      <c r="T17" s="794">
        <v>468603</v>
      </c>
      <c r="U17" s="797">
        <v>389952.32</v>
      </c>
      <c r="V17" s="794">
        <v>9985596</v>
      </c>
      <c r="W17" s="797">
        <v>7938922.0300000003</v>
      </c>
      <c r="X17" s="794">
        <v>6977030</v>
      </c>
      <c r="Y17" s="795">
        <v>18962809.420000002</v>
      </c>
      <c r="Z17" s="796">
        <v>834887</v>
      </c>
      <c r="AA17" s="795">
        <v>727367.91</v>
      </c>
      <c r="AB17" s="796">
        <v>1016679</v>
      </c>
      <c r="AC17" s="797">
        <v>980209.12</v>
      </c>
      <c r="AD17" s="794">
        <v>2519054</v>
      </c>
      <c r="AE17" s="795">
        <v>2021692.6</v>
      </c>
      <c r="AF17" s="796">
        <v>6329371</v>
      </c>
      <c r="AG17" s="795">
        <v>5239434.75</v>
      </c>
      <c r="AH17" s="796">
        <v>2212831</v>
      </c>
      <c r="AI17" s="797">
        <v>1807764.75</v>
      </c>
      <c r="AJ17" s="794">
        <v>1834371</v>
      </c>
      <c r="AK17" s="795">
        <v>1634907.53</v>
      </c>
      <c r="AL17" s="796"/>
      <c r="AM17" s="795"/>
      <c r="AN17" s="796">
        <v>10533389</v>
      </c>
      <c r="AO17" s="795">
        <v>8772471.9600000009</v>
      </c>
      <c r="AP17" s="796">
        <v>614041</v>
      </c>
      <c r="AQ17" s="795">
        <v>484972.62</v>
      </c>
      <c r="AR17" s="796">
        <v>1059400</v>
      </c>
      <c r="AS17" s="795">
        <v>786694.47</v>
      </c>
      <c r="AT17" s="796">
        <v>3081351</v>
      </c>
      <c r="AU17" s="795">
        <v>2438455.3199999998</v>
      </c>
      <c r="AV17" s="796">
        <f t="shared" si="0"/>
        <v>51968437</v>
      </c>
      <c r="AW17" s="795">
        <f t="shared" si="0"/>
        <v>55893400.210000001</v>
      </c>
      <c r="AX17" s="796">
        <v>364241806</v>
      </c>
      <c r="AY17" s="795">
        <v>333783076.38</v>
      </c>
      <c r="AZ17" s="796">
        <f t="shared" si="1"/>
        <v>416210243</v>
      </c>
      <c r="BA17" s="797">
        <f t="shared" si="1"/>
        <v>389676476.58999997</v>
      </c>
    </row>
    <row r="18" spans="1:53" x14ac:dyDescent="0.3">
      <c r="A18" s="302" t="s">
        <v>221</v>
      </c>
      <c r="B18" s="798"/>
      <c r="C18" s="799"/>
      <c r="D18" s="796"/>
      <c r="E18" s="795"/>
      <c r="F18" s="796">
        <f>3313+43</f>
        <v>3356</v>
      </c>
      <c r="G18" s="795">
        <f>2909+98</f>
        <v>3007</v>
      </c>
      <c r="H18" s="796"/>
      <c r="I18" s="795"/>
      <c r="J18" s="796"/>
      <c r="K18" s="795"/>
      <c r="L18" s="796"/>
      <c r="M18" s="797"/>
      <c r="N18" s="796"/>
      <c r="O18" s="797"/>
      <c r="P18" s="794"/>
      <c r="Q18" s="797"/>
      <c r="R18" s="794"/>
      <c r="S18" s="797"/>
      <c r="T18" s="794"/>
      <c r="U18" s="797"/>
      <c r="V18" s="794"/>
      <c r="W18" s="797"/>
      <c r="X18" s="794"/>
      <c r="Y18" s="795"/>
      <c r="Z18" s="796"/>
      <c r="AA18" s="795"/>
      <c r="AB18" s="796"/>
      <c r="AC18" s="797"/>
      <c r="AD18" s="794"/>
      <c r="AE18" s="795"/>
      <c r="AF18" s="796"/>
      <c r="AG18" s="795"/>
      <c r="AH18" s="796"/>
      <c r="AI18" s="797"/>
      <c r="AJ18" s="794"/>
      <c r="AK18" s="795"/>
      <c r="AL18" s="796"/>
      <c r="AM18" s="795"/>
      <c r="AN18" s="796"/>
      <c r="AO18" s="795"/>
      <c r="AP18" s="796"/>
      <c r="AQ18" s="795"/>
      <c r="AR18" s="796"/>
      <c r="AS18" s="795"/>
      <c r="AT18" s="796"/>
      <c r="AU18" s="795"/>
      <c r="AV18" s="796">
        <f t="shared" si="0"/>
        <v>3356</v>
      </c>
      <c r="AW18" s="795">
        <f t="shared" si="0"/>
        <v>3007</v>
      </c>
      <c r="AX18" s="796"/>
      <c r="AY18" s="795"/>
      <c r="AZ18" s="796">
        <f t="shared" si="1"/>
        <v>3356</v>
      </c>
      <c r="BA18" s="797">
        <f t="shared" si="1"/>
        <v>3007</v>
      </c>
    </row>
    <row r="19" spans="1:53" x14ac:dyDescent="0.3">
      <c r="A19" s="302" t="s">
        <v>283</v>
      </c>
      <c r="B19" s="798"/>
      <c r="C19" s="799"/>
      <c r="D19" s="796"/>
      <c r="E19" s="795"/>
      <c r="F19" s="796">
        <f>663940+18544+5441+310+5937+707+1748</f>
        <v>696627</v>
      </c>
      <c r="G19" s="795">
        <f>2276+113+548261+17298+4253+226+5270+1391+1247</f>
        <v>580335</v>
      </c>
      <c r="H19" s="796"/>
      <c r="I19" s="795"/>
      <c r="J19" s="796"/>
      <c r="K19" s="795"/>
      <c r="L19" s="796"/>
      <c r="M19" s="797"/>
      <c r="N19" s="796"/>
      <c r="O19" s="797"/>
      <c r="P19" s="794"/>
      <c r="Q19" s="797"/>
      <c r="R19" s="794"/>
      <c r="S19" s="797"/>
      <c r="T19" s="794"/>
      <c r="U19" s="797"/>
      <c r="V19" s="794"/>
      <c r="W19" s="797"/>
      <c r="X19" s="794"/>
      <c r="Y19" s="795"/>
      <c r="Z19" s="796"/>
      <c r="AA19" s="795"/>
      <c r="AB19" s="796"/>
      <c r="AC19" s="797"/>
      <c r="AD19" s="794"/>
      <c r="AE19" s="795"/>
      <c r="AF19" s="796"/>
      <c r="AG19" s="795"/>
      <c r="AH19" s="796"/>
      <c r="AI19" s="797"/>
      <c r="AJ19" s="794"/>
      <c r="AK19" s="795"/>
      <c r="AL19" s="796"/>
      <c r="AM19" s="795"/>
      <c r="AN19" s="796"/>
      <c r="AO19" s="795"/>
      <c r="AP19" s="796"/>
      <c r="AQ19" s="795"/>
      <c r="AR19" s="796"/>
      <c r="AS19" s="795"/>
      <c r="AT19" s="796"/>
      <c r="AU19" s="795"/>
      <c r="AV19" s="796">
        <f t="shared" si="0"/>
        <v>696627</v>
      </c>
      <c r="AW19" s="795">
        <f t="shared" si="0"/>
        <v>580335</v>
      </c>
      <c r="AX19" s="796"/>
      <c r="AY19" s="795"/>
      <c r="AZ19" s="796">
        <f t="shared" si="1"/>
        <v>696627</v>
      </c>
      <c r="BA19" s="797">
        <f t="shared" si="1"/>
        <v>580335</v>
      </c>
    </row>
    <row r="20" spans="1:53" x14ac:dyDescent="0.3">
      <c r="A20" s="711" t="s">
        <v>284</v>
      </c>
      <c r="B20" s="798"/>
      <c r="C20" s="799"/>
      <c r="D20" s="796"/>
      <c r="E20" s="795"/>
      <c r="F20" s="796"/>
      <c r="G20" s="795"/>
      <c r="H20" s="796"/>
      <c r="I20" s="795"/>
      <c r="J20" s="796"/>
      <c r="K20" s="795"/>
      <c r="L20" s="796"/>
      <c r="M20" s="797"/>
      <c r="N20" s="796"/>
      <c r="O20" s="797"/>
      <c r="P20" s="794"/>
      <c r="Q20" s="797"/>
      <c r="R20" s="794"/>
      <c r="S20" s="797"/>
      <c r="T20" s="794"/>
      <c r="U20" s="797"/>
      <c r="V20" s="794"/>
      <c r="W20" s="797"/>
      <c r="X20" s="794"/>
      <c r="Y20" s="795"/>
      <c r="Z20" s="796"/>
      <c r="AA20" s="795"/>
      <c r="AB20" s="796"/>
      <c r="AC20" s="797"/>
      <c r="AD20" s="794"/>
      <c r="AE20" s="795"/>
      <c r="AF20" s="796"/>
      <c r="AG20" s="795"/>
      <c r="AH20" s="796"/>
      <c r="AI20" s="797"/>
      <c r="AJ20" s="794"/>
      <c r="AK20" s="795"/>
      <c r="AL20" s="796"/>
      <c r="AM20" s="795"/>
      <c r="AN20" s="796"/>
      <c r="AO20" s="795"/>
      <c r="AP20" s="796"/>
      <c r="AQ20" s="795"/>
      <c r="AR20" s="796"/>
      <c r="AS20" s="795"/>
      <c r="AT20" s="796"/>
      <c r="AU20" s="795"/>
      <c r="AV20" s="796">
        <f t="shared" si="0"/>
        <v>0</v>
      </c>
      <c r="AW20" s="795">
        <f t="shared" si="0"/>
        <v>0</v>
      </c>
      <c r="AX20" s="796">
        <v>1285197</v>
      </c>
      <c r="AY20" s="795">
        <v>1284250.3600000001</v>
      </c>
      <c r="AZ20" s="796">
        <f t="shared" si="1"/>
        <v>1285197</v>
      </c>
      <c r="BA20" s="797">
        <f t="shared" si="1"/>
        <v>1284250.3600000001</v>
      </c>
    </row>
    <row r="21" spans="1:53" x14ac:dyDescent="0.3">
      <c r="A21" s="302" t="s">
        <v>285</v>
      </c>
      <c r="B21" s="798"/>
      <c r="C21" s="799"/>
      <c r="D21" s="796"/>
      <c r="E21" s="795"/>
      <c r="F21" s="796"/>
      <c r="G21" s="795"/>
      <c r="H21" s="796"/>
      <c r="I21" s="795"/>
      <c r="J21" s="796"/>
      <c r="K21" s="795"/>
      <c r="L21" s="796"/>
      <c r="M21" s="797"/>
      <c r="N21" s="796"/>
      <c r="O21" s="797"/>
      <c r="P21" s="794"/>
      <c r="Q21" s="797"/>
      <c r="R21" s="794"/>
      <c r="S21" s="797"/>
      <c r="T21" s="794"/>
      <c r="U21" s="797"/>
      <c r="V21" s="794"/>
      <c r="W21" s="797"/>
      <c r="X21" s="794"/>
      <c r="Y21" s="795"/>
      <c r="Z21" s="796"/>
      <c r="AA21" s="795"/>
      <c r="AB21" s="796"/>
      <c r="AC21" s="797"/>
      <c r="AD21" s="794"/>
      <c r="AE21" s="795"/>
      <c r="AF21" s="796"/>
      <c r="AG21" s="795"/>
      <c r="AH21" s="796"/>
      <c r="AI21" s="797"/>
      <c r="AJ21" s="794"/>
      <c r="AK21" s="795"/>
      <c r="AL21" s="796"/>
      <c r="AM21" s="795"/>
      <c r="AN21" s="796"/>
      <c r="AO21" s="795"/>
      <c r="AP21" s="796"/>
      <c r="AQ21" s="795"/>
      <c r="AR21" s="796"/>
      <c r="AS21" s="795"/>
      <c r="AT21" s="796"/>
      <c r="AU21" s="795"/>
      <c r="AV21" s="796">
        <f t="shared" si="0"/>
        <v>0</v>
      </c>
      <c r="AW21" s="795">
        <f t="shared" si="0"/>
        <v>0</v>
      </c>
      <c r="AX21" s="796"/>
      <c r="AY21" s="795"/>
      <c r="AZ21" s="796">
        <f t="shared" si="1"/>
        <v>0</v>
      </c>
      <c r="BA21" s="797">
        <f t="shared" si="1"/>
        <v>0</v>
      </c>
    </row>
    <row r="22" spans="1:53" x14ac:dyDescent="0.3">
      <c r="A22" s="302" t="s">
        <v>286</v>
      </c>
      <c r="B22" s="798"/>
      <c r="C22" s="799"/>
      <c r="D22" s="796"/>
      <c r="E22" s="795"/>
      <c r="F22" s="796"/>
      <c r="G22" s="795"/>
      <c r="H22" s="796"/>
      <c r="I22" s="795"/>
      <c r="J22" s="796"/>
      <c r="K22" s="795"/>
      <c r="L22" s="796"/>
      <c r="M22" s="797"/>
      <c r="N22" s="796"/>
      <c r="O22" s="797"/>
      <c r="P22" s="794"/>
      <c r="Q22" s="797"/>
      <c r="R22" s="794"/>
      <c r="S22" s="797"/>
      <c r="T22" s="794"/>
      <c r="U22" s="797"/>
      <c r="V22" s="794"/>
      <c r="W22" s="797"/>
      <c r="X22" s="794"/>
      <c r="Y22" s="795"/>
      <c r="Z22" s="796"/>
      <c r="AA22" s="795"/>
      <c r="AB22" s="796"/>
      <c r="AC22" s="797"/>
      <c r="AD22" s="794"/>
      <c r="AE22" s="795"/>
      <c r="AF22" s="796"/>
      <c r="AG22" s="795"/>
      <c r="AH22" s="796"/>
      <c r="AI22" s="797"/>
      <c r="AJ22" s="794"/>
      <c r="AK22" s="795"/>
      <c r="AL22" s="796"/>
      <c r="AM22" s="795"/>
      <c r="AN22" s="796"/>
      <c r="AO22" s="795"/>
      <c r="AP22" s="796"/>
      <c r="AQ22" s="795"/>
      <c r="AR22" s="796"/>
      <c r="AS22" s="795"/>
      <c r="AT22" s="796"/>
      <c r="AU22" s="795"/>
      <c r="AV22" s="796">
        <f t="shared" si="0"/>
        <v>0</v>
      </c>
      <c r="AW22" s="795">
        <f t="shared" si="0"/>
        <v>0</v>
      </c>
      <c r="AX22" s="796"/>
      <c r="AY22" s="795"/>
      <c r="AZ22" s="796">
        <f t="shared" si="1"/>
        <v>0</v>
      </c>
      <c r="BA22" s="797">
        <f t="shared" si="1"/>
        <v>0</v>
      </c>
    </row>
    <row r="23" spans="1:53" x14ac:dyDescent="0.3">
      <c r="A23" s="711" t="s">
        <v>287</v>
      </c>
      <c r="B23" s="798">
        <v>2533873</v>
      </c>
      <c r="C23" s="799">
        <v>2351250.81</v>
      </c>
      <c r="D23" s="796">
        <v>93411</v>
      </c>
      <c r="E23" s="795">
        <v>90785.24</v>
      </c>
      <c r="F23" s="796">
        <f>4962+314+286938+32226+31013</f>
        <v>355453</v>
      </c>
      <c r="G23" s="795">
        <f>5121+308+264324+33266+30616</f>
        <v>333635</v>
      </c>
      <c r="H23" s="796">
        <v>3126428</v>
      </c>
      <c r="I23" s="795">
        <v>2101286.75</v>
      </c>
      <c r="J23" s="796">
        <v>165551</v>
      </c>
      <c r="K23" s="795">
        <v>132735.19</v>
      </c>
      <c r="L23" s="796">
        <v>975060</v>
      </c>
      <c r="M23" s="797">
        <v>841990.83</v>
      </c>
      <c r="N23" s="796">
        <v>35869</v>
      </c>
      <c r="O23" s="797">
        <v>34568</v>
      </c>
      <c r="P23" s="794">
        <v>125946</v>
      </c>
      <c r="Q23" s="797">
        <v>89865.54</v>
      </c>
      <c r="R23" s="794">
        <v>176413</v>
      </c>
      <c r="S23" s="797">
        <v>159952.03</v>
      </c>
      <c r="T23" s="794">
        <v>56131</v>
      </c>
      <c r="U23" s="797">
        <v>53288.98</v>
      </c>
      <c r="V23" s="794">
        <v>7763073</v>
      </c>
      <c r="W23" s="797">
        <v>5485734.2300000004</v>
      </c>
      <c r="X23" s="794">
        <v>14125463</v>
      </c>
      <c r="Y23" s="795">
        <v>12349048.609999999</v>
      </c>
      <c r="Z23" s="796">
        <v>391292</v>
      </c>
      <c r="AA23" s="795">
        <v>314563</v>
      </c>
      <c r="AB23" s="796">
        <v>633523</v>
      </c>
      <c r="AC23" s="797">
        <v>513433.12</v>
      </c>
      <c r="AD23" s="794">
        <v>2153459</v>
      </c>
      <c r="AE23" s="795">
        <v>1734544</v>
      </c>
      <c r="AF23" s="796">
        <v>2863180</v>
      </c>
      <c r="AG23" s="795">
        <v>2351064.4900000002</v>
      </c>
      <c r="AH23" s="796">
        <v>701217</v>
      </c>
      <c r="AI23" s="797">
        <f>6068.24+607662.92</f>
        <v>613731.16</v>
      </c>
      <c r="AJ23" s="794">
        <v>623925</v>
      </c>
      <c r="AK23" s="795">
        <v>541164.04</v>
      </c>
      <c r="AL23" s="796"/>
      <c r="AM23" s="795"/>
      <c r="AN23" s="796">
        <v>12786684</v>
      </c>
      <c r="AO23" s="795">
        <v>10248956</v>
      </c>
      <c r="AP23" s="796">
        <v>47439</v>
      </c>
      <c r="AQ23" s="795">
        <v>50628.2</v>
      </c>
      <c r="AR23" s="796">
        <v>228934</v>
      </c>
      <c r="AS23" s="795">
        <v>199659.8</v>
      </c>
      <c r="AT23" s="796">
        <v>1863797</v>
      </c>
      <c r="AU23" s="795">
        <v>1485897.74</v>
      </c>
      <c r="AV23" s="796">
        <f t="shared" si="0"/>
        <v>51826121</v>
      </c>
      <c r="AW23" s="795">
        <f t="shared" si="0"/>
        <v>42077782.759999998</v>
      </c>
      <c r="AX23" s="796">
        <v>2340410</v>
      </c>
      <c r="AY23" s="795">
        <v>3562163.91</v>
      </c>
      <c r="AZ23" s="796">
        <f t="shared" si="1"/>
        <v>54166531</v>
      </c>
      <c r="BA23" s="797">
        <f t="shared" si="1"/>
        <v>45639946.670000002</v>
      </c>
    </row>
    <row r="24" spans="1:53" x14ac:dyDescent="0.3">
      <c r="A24" s="302" t="s">
        <v>288</v>
      </c>
      <c r="B24" s="798">
        <v>370530</v>
      </c>
      <c r="C24" s="799">
        <v>338577.33</v>
      </c>
      <c r="D24" s="796"/>
      <c r="E24" s="795"/>
      <c r="F24" s="796"/>
      <c r="G24" s="795"/>
      <c r="H24" s="796"/>
      <c r="I24" s="795">
        <v>457441.16</v>
      </c>
      <c r="J24" s="796"/>
      <c r="K24" s="795"/>
      <c r="L24" s="796">
        <v>243029</v>
      </c>
      <c r="M24" s="797">
        <v>205883.08</v>
      </c>
      <c r="N24" s="796"/>
      <c r="O24" s="797"/>
      <c r="P24" s="794">
        <v>23230</v>
      </c>
      <c r="Q24" s="797">
        <v>14471.95</v>
      </c>
      <c r="R24" s="794">
        <v>43328</v>
      </c>
      <c r="S24" s="797">
        <v>38222.67</v>
      </c>
      <c r="T24" s="794"/>
      <c r="U24" s="797"/>
      <c r="V24" s="794"/>
      <c r="W24" s="797">
        <v>1463120.33</v>
      </c>
      <c r="X24" s="794"/>
      <c r="Y24" s="795"/>
      <c r="Z24" s="796"/>
      <c r="AA24" s="795"/>
      <c r="AB24" s="796"/>
      <c r="AC24" s="797"/>
      <c r="AD24" s="794"/>
      <c r="AE24" s="795"/>
      <c r="AF24" s="796"/>
      <c r="AG24" s="795"/>
      <c r="AH24" s="796"/>
      <c r="AI24" s="797"/>
      <c r="AJ24" s="794"/>
      <c r="AK24" s="795"/>
      <c r="AL24" s="796"/>
      <c r="AM24" s="795"/>
      <c r="AN24" s="796"/>
      <c r="AO24" s="795"/>
      <c r="AP24" s="796"/>
      <c r="AQ24" s="795"/>
      <c r="AR24" s="796">
        <v>16821</v>
      </c>
      <c r="AS24" s="795">
        <v>36975.58</v>
      </c>
      <c r="AT24" s="796"/>
      <c r="AU24" s="795"/>
      <c r="AV24" s="796">
        <f t="shared" si="0"/>
        <v>696938</v>
      </c>
      <c r="AW24" s="795">
        <f t="shared" si="0"/>
        <v>2554692.1</v>
      </c>
      <c r="AX24" s="796"/>
      <c r="AY24" s="795"/>
      <c r="AZ24" s="796">
        <f t="shared" si="1"/>
        <v>696938</v>
      </c>
      <c r="BA24" s="797">
        <f t="shared" si="1"/>
        <v>2554692.1</v>
      </c>
    </row>
    <row r="25" spans="1:53" x14ac:dyDescent="0.3">
      <c r="A25" s="302" t="s">
        <v>289</v>
      </c>
      <c r="B25" s="798"/>
      <c r="C25" s="799"/>
      <c r="D25" s="796"/>
      <c r="E25" s="795"/>
      <c r="F25" s="796"/>
      <c r="G25" s="795"/>
      <c r="H25" s="796"/>
      <c r="I25" s="795"/>
      <c r="J25" s="796"/>
      <c r="K25" s="795"/>
      <c r="L25" s="796">
        <v>10230</v>
      </c>
      <c r="M25" s="797">
        <v>7980.1</v>
      </c>
      <c r="N25" s="796"/>
      <c r="O25" s="797"/>
      <c r="P25" s="794"/>
      <c r="Q25" s="797"/>
      <c r="R25" s="794">
        <v>835</v>
      </c>
      <c r="S25" s="797">
        <v>802.09</v>
      </c>
      <c r="T25" s="794"/>
      <c r="U25" s="797"/>
      <c r="V25" s="794"/>
      <c r="W25" s="797"/>
      <c r="X25" s="794"/>
      <c r="Y25" s="795"/>
      <c r="Z25" s="796"/>
      <c r="AA25" s="795"/>
      <c r="AB25" s="796"/>
      <c r="AC25" s="797"/>
      <c r="AD25" s="794"/>
      <c r="AE25" s="795"/>
      <c r="AF25" s="796"/>
      <c r="AG25" s="795"/>
      <c r="AH25" s="796"/>
      <c r="AI25" s="797"/>
      <c r="AJ25" s="794"/>
      <c r="AK25" s="795"/>
      <c r="AL25" s="796"/>
      <c r="AM25" s="795"/>
      <c r="AN25" s="796"/>
      <c r="AO25" s="795"/>
      <c r="AP25" s="796"/>
      <c r="AQ25" s="795"/>
      <c r="AR25" s="796"/>
      <c r="AS25" s="795"/>
      <c r="AT25" s="796"/>
      <c r="AU25" s="795"/>
      <c r="AV25" s="796">
        <f t="shared" si="0"/>
        <v>11065</v>
      </c>
      <c r="AW25" s="795">
        <f t="shared" si="0"/>
        <v>8782.19</v>
      </c>
      <c r="AX25" s="796"/>
      <c r="AY25" s="795"/>
      <c r="AZ25" s="796">
        <f t="shared" si="1"/>
        <v>11065</v>
      </c>
      <c r="BA25" s="797">
        <f t="shared" si="1"/>
        <v>8782.19</v>
      </c>
    </row>
    <row r="26" spans="1:53" x14ac:dyDescent="0.3">
      <c r="A26" s="711" t="s">
        <v>290</v>
      </c>
      <c r="B26" s="798">
        <v>120581</v>
      </c>
      <c r="C26" s="799">
        <v>85721.47</v>
      </c>
      <c r="D26" s="796">
        <f>15721+133</f>
        <v>15854</v>
      </c>
      <c r="E26" s="795">
        <v>11476.41</v>
      </c>
      <c r="F26" s="796">
        <v>17521</v>
      </c>
      <c r="G26" s="795">
        <v>17518</v>
      </c>
      <c r="H26" s="796"/>
      <c r="I26" s="795">
        <v>167616.46</v>
      </c>
      <c r="J26" s="796">
        <v>3395</v>
      </c>
      <c r="K26" s="795">
        <v>1590.11</v>
      </c>
      <c r="L26" s="796">
        <v>70117</v>
      </c>
      <c r="M26" s="797">
        <v>73325.86</v>
      </c>
      <c r="N26" s="796">
        <v>6268</v>
      </c>
      <c r="O26" s="797">
        <v>5851</v>
      </c>
      <c r="P26" s="794">
        <v>19190</v>
      </c>
      <c r="Q26" s="797">
        <v>16543.240000000002</v>
      </c>
      <c r="R26" s="794">
        <f>12545+3915</f>
        <v>16460</v>
      </c>
      <c r="S26" s="797">
        <v>18470.900000000001</v>
      </c>
      <c r="T26" s="794"/>
      <c r="U26" s="797"/>
      <c r="V26" s="794">
        <v>428134</v>
      </c>
      <c r="W26" s="797">
        <v>379572.62</v>
      </c>
      <c r="X26" s="794">
        <v>1092057</v>
      </c>
      <c r="Y26" s="795">
        <v>1095422.5</v>
      </c>
      <c r="Z26" s="796">
        <v>22058</v>
      </c>
      <c r="AA26" s="795">
        <v>17109</v>
      </c>
      <c r="AB26" s="796">
        <v>44667</v>
      </c>
      <c r="AC26" s="797">
        <v>32730.61</v>
      </c>
      <c r="AD26" s="794">
        <v>67467</v>
      </c>
      <c r="AE26" s="795">
        <v>56220</v>
      </c>
      <c r="AF26" s="796">
        <v>378239</v>
      </c>
      <c r="AG26" s="795">
        <v>265463.8</v>
      </c>
      <c r="AH26" s="796">
        <v>87820</v>
      </c>
      <c r="AI26" s="797">
        <v>59148.33</v>
      </c>
      <c r="AJ26" s="794">
        <v>56118</v>
      </c>
      <c r="AK26" s="795">
        <v>41848.980000000003</v>
      </c>
      <c r="AL26" s="796"/>
      <c r="AM26" s="795"/>
      <c r="AN26" s="796"/>
      <c r="AO26" s="795"/>
      <c r="AP26" s="796">
        <v>2230</v>
      </c>
      <c r="AQ26" s="795">
        <v>2154.06</v>
      </c>
      <c r="AR26" s="796"/>
      <c r="AS26" s="795"/>
      <c r="AT26" s="796"/>
      <c r="AU26" s="795"/>
      <c r="AV26" s="796">
        <f t="shared" si="0"/>
        <v>2448176</v>
      </c>
      <c r="AW26" s="795">
        <f t="shared" si="0"/>
        <v>2347783.35</v>
      </c>
      <c r="AX26" s="796">
        <v>5520</v>
      </c>
      <c r="AY26" s="795">
        <v>2977.29</v>
      </c>
      <c r="AZ26" s="796">
        <f t="shared" si="1"/>
        <v>2453696</v>
      </c>
      <c r="BA26" s="797">
        <f t="shared" si="1"/>
        <v>2350760.64</v>
      </c>
    </row>
    <row r="27" spans="1:53" x14ac:dyDescent="0.3">
      <c r="A27" s="302" t="s">
        <v>291</v>
      </c>
      <c r="B27" s="798"/>
      <c r="C27" s="799"/>
      <c r="D27" s="796"/>
      <c r="E27" s="795"/>
      <c r="F27" s="796"/>
      <c r="G27" s="795"/>
      <c r="H27" s="796"/>
      <c r="I27" s="795"/>
      <c r="J27" s="796"/>
      <c r="K27" s="795"/>
      <c r="L27" s="796"/>
      <c r="M27" s="797"/>
      <c r="N27" s="796"/>
      <c r="O27" s="797"/>
      <c r="P27" s="794"/>
      <c r="Q27" s="797"/>
      <c r="R27" s="794"/>
      <c r="S27" s="797"/>
      <c r="T27" s="794">
        <v>18130</v>
      </c>
      <c r="U27" s="797">
        <v>13747</v>
      </c>
      <c r="V27" s="794"/>
      <c r="W27" s="797"/>
      <c r="X27" s="794"/>
      <c r="Y27" s="795"/>
      <c r="Z27" s="796"/>
      <c r="AA27" s="795"/>
      <c r="AB27" s="796"/>
      <c r="AC27" s="797"/>
      <c r="AD27" s="794"/>
      <c r="AE27" s="795"/>
      <c r="AF27" s="796"/>
      <c r="AG27" s="795"/>
      <c r="AH27" s="796"/>
      <c r="AI27" s="797"/>
      <c r="AJ27" s="794"/>
      <c r="AK27" s="795"/>
      <c r="AL27" s="796"/>
      <c r="AM27" s="795"/>
      <c r="AN27" s="796">
        <v>816888</v>
      </c>
      <c r="AO27" s="795">
        <v>682584.53</v>
      </c>
      <c r="AP27" s="796"/>
      <c r="AQ27" s="795"/>
      <c r="AR27" s="796">
        <v>24854</v>
      </c>
      <c r="AS27" s="795">
        <v>19195.919999999998</v>
      </c>
      <c r="AT27" s="796">
        <v>123424</v>
      </c>
      <c r="AU27" s="795"/>
      <c r="AV27" s="796">
        <f t="shared" si="0"/>
        <v>983296</v>
      </c>
      <c r="AW27" s="795">
        <f t="shared" si="0"/>
        <v>715527.45000000007</v>
      </c>
      <c r="AX27" s="796"/>
      <c r="AY27" s="795"/>
      <c r="AZ27" s="796">
        <f t="shared" si="1"/>
        <v>983296</v>
      </c>
      <c r="BA27" s="797">
        <f t="shared" si="1"/>
        <v>715527.45000000007</v>
      </c>
    </row>
    <row r="28" spans="1:53" x14ac:dyDescent="0.3">
      <c r="A28" s="302" t="s">
        <v>292</v>
      </c>
      <c r="B28" s="798"/>
      <c r="C28" s="799"/>
      <c r="D28" s="796">
        <v>133</v>
      </c>
      <c r="E28" s="795">
        <v>92.91</v>
      </c>
      <c r="F28" s="796"/>
      <c r="G28" s="795"/>
      <c r="H28" s="796"/>
      <c r="I28" s="795">
        <v>983.96</v>
      </c>
      <c r="J28" s="796"/>
      <c r="K28" s="795"/>
      <c r="L28" s="796">
        <v>1198</v>
      </c>
      <c r="M28" s="797">
        <v>762.89</v>
      </c>
      <c r="N28" s="796"/>
      <c r="O28" s="797"/>
      <c r="P28" s="794"/>
      <c r="Q28" s="797"/>
      <c r="R28" s="794"/>
      <c r="S28" s="797"/>
      <c r="T28" s="794"/>
      <c r="U28" s="797"/>
      <c r="V28" s="794">
        <v>1961</v>
      </c>
      <c r="W28" s="797">
        <v>1634.81</v>
      </c>
      <c r="X28" s="794">
        <v>5661</v>
      </c>
      <c r="Y28" s="795"/>
      <c r="Z28" s="796"/>
      <c r="AA28" s="795"/>
      <c r="AB28" s="796"/>
      <c r="AC28" s="797"/>
      <c r="AD28" s="794">
        <v>75</v>
      </c>
      <c r="AE28" s="795"/>
      <c r="AF28" s="796"/>
      <c r="AG28" s="795"/>
      <c r="AH28" s="796"/>
      <c r="AI28" s="797"/>
      <c r="AJ28" s="794"/>
      <c r="AK28" s="795"/>
      <c r="AL28" s="796"/>
      <c r="AM28" s="795"/>
      <c r="AN28" s="796">
        <v>12266</v>
      </c>
      <c r="AO28" s="795">
        <v>13307.62</v>
      </c>
      <c r="AP28" s="796"/>
      <c r="AQ28" s="795"/>
      <c r="AR28" s="796">
        <v>40</v>
      </c>
      <c r="AS28" s="795">
        <v>659</v>
      </c>
      <c r="AT28" s="796">
        <v>860</v>
      </c>
      <c r="AU28" s="795"/>
      <c r="AV28" s="796">
        <f t="shared" si="0"/>
        <v>22194</v>
      </c>
      <c r="AW28" s="795">
        <f t="shared" si="0"/>
        <v>17441.190000000002</v>
      </c>
      <c r="AX28" s="796">
        <v>1689</v>
      </c>
      <c r="AY28" s="795">
        <v>1834.15</v>
      </c>
      <c r="AZ28" s="796">
        <f t="shared" si="1"/>
        <v>23883</v>
      </c>
      <c r="BA28" s="797">
        <f t="shared" si="1"/>
        <v>19275.340000000004</v>
      </c>
    </row>
    <row r="29" spans="1:53" x14ac:dyDescent="0.3">
      <c r="A29" s="302" t="s">
        <v>293</v>
      </c>
      <c r="B29" s="798"/>
      <c r="C29" s="799"/>
      <c r="D29" s="796"/>
      <c r="E29" s="795"/>
      <c r="F29" s="796"/>
      <c r="G29" s="795"/>
      <c r="H29" s="796">
        <v>177598</v>
      </c>
      <c r="I29" s="795">
        <v>-91.82</v>
      </c>
      <c r="J29" s="796"/>
      <c r="K29" s="795"/>
      <c r="L29" s="796"/>
      <c r="M29" s="797"/>
      <c r="N29" s="796"/>
      <c r="O29" s="797"/>
      <c r="P29" s="794"/>
      <c r="Q29" s="797"/>
      <c r="R29" s="794"/>
      <c r="S29" s="797"/>
      <c r="T29" s="794"/>
      <c r="U29" s="797"/>
      <c r="V29" s="794"/>
      <c r="W29" s="797"/>
      <c r="X29" s="794"/>
      <c r="Y29" s="795"/>
      <c r="Z29" s="796"/>
      <c r="AA29" s="795"/>
      <c r="AB29" s="796"/>
      <c r="AC29" s="797"/>
      <c r="AD29" s="794"/>
      <c r="AE29" s="795"/>
      <c r="AF29" s="796"/>
      <c r="AG29" s="795"/>
      <c r="AH29" s="796"/>
      <c r="AI29" s="797"/>
      <c r="AJ29" s="794"/>
      <c r="AK29" s="795"/>
      <c r="AL29" s="796"/>
      <c r="AM29" s="795"/>
      <c r="AN29" s="796"/>
      <c r="AO29" s="795"/>
      <c r="AP29" s="796"/>
      <c r="AQ29" s="795"/>
      <c r="AR29" s="796"/>
      <c r="AS29" s="795"/>
      <c r="AT29" s="796"/>
      <c r="AU29" s="795"/>
      <c r="AV29" s="796">
        <f t="shared" si="0"/>
        <v>177598</v>
      </c>
      <c r="AW29" s="795">
        <f t="shared" si="0"/>
        <v>-91.82</v>
      </c>
      <c r="AX29" s="796"/>
      <c r="AY29" s="795"/>
      <c r="AZ29" s="796">
        <f t="shared" si="1"/>
        <v>177598</v>
      </c>
      <c r="BA29" s="797">
        <f t="shared" si="1"/>
        <v>-91.82</v>
      </c>
    </row>
    <row r="30" spans="1:53" x14ac:dyDescent="0.3">
      <c r="A30" s="302" t="s">
        <v>294</v>
      </c>
      <c r="B30" s="798"/>
      <c r="C30" s="799"/>
      <c r="D30" s="796"/>
      <c r="E30" s="795"/>
      <c r="F30" s="796"/>
      <c r="G30" s="795"/>
      <c r="H30" s="796"/>
      <c r="I30" s="795"/>
      <c r="J30" s="796"/>
      <c r="K30" s="795"/>
      <c r="L30" s="796"/>
      <c r="M30" s="797"/>
      <c r="N30" s="796"/>
      <c r="O30" s="797"/>
      <c r="P30" s="794"/>
      <c r="Q30" s="797"/>
      <c r="R30" s="794"/>
      <c r="S30" s="797"/>
      <c r="T30" s="794"/>
      <c r="U30" s="797"/>
      <c r="V30" s="794"/>
      <c r="W30" s="797"/>
      <c r="X30" s="794"/>
      <c r="Y30" s="795"/>
      <c r="Z30" s="796"/>
      <c r="AA30" s="795"/>
      <c r="AB30" s="796"/>
      <c r="AC30" s="797"/>
      <c r="AD30" s="794"/>
      <c r="AE30" s="795"/>
      <c r="AF30" s="796"/>
      <c r="AG30" s="795"/>
      <c r="AH30" s="796"/>
      <c r="AI30" s="797"/>
      <c r="AJ30" s="794"/>
      <c r="AK30" s="795"/>
      <c r="AL30" s="796"/>
      <c r="AM30" s="795"/>
      <c r="AN30" s="796"/>
      <c r="AO30" s="795"/>
      <c r="AP30" s="796"/>
      <c r="AQ30" s="795"/>
      <c r="AR30" s="796"/>
      <c r="AS30" s="795"/>
      <c r="AT30" s="796"/>
      <c r="AU30" s="795"/>
      <c r="AV30" s="796">
        <f t="shared" si="0"/>
        <v>0</v>
      </c>
      <c r="AW30" s="795">
        <f t="shared" si="0"/>
        <v>0</v>
      </c>
      <c r="AX30" s="796"/>
      <c r="AY30" s="795"/>
      <c r="AZ30" s="796">
        <f t="shared" si="1"/>
        <v>0</v>
      </c>
      <c r="BA30" s="797">
        <f t="shared" si="1"/>
        <v>0</v>
      </c>
    </row>
    <row r="31" spans="1:53" x14ac:dyDescent="0.3">
      <c r="A31" s="711" t="s">
        <v>295</v>
      </c>
      <c r="B31" s="798"/>
      <c r="C31" s="799"/>
      <c r="D31" s="796"/>
      <c r="E31" s="795"/>
      <c r="F31" s="796"/>
      <c r="G31" s="795"/>
      <c r="H31" s="796">
        <v>115215</v>
      </c>
      <c r="I31" s="795">
        <v>114789.22</v>
      </c>
      <c r="J31" s="796"/>
      <c r="K31" s="795">
        <v>1605018</v>
      </c>
      <c r="L31" s="796">
        <v>54552</v>
      </c>
      <c r="M31" s="797">
        <v>26055.65</v>
      </c>
      <c r="N31" s="796">
        <v>2994</v>
      </c>
      <c r="O31" s="797">
        <v>1163.28</v>
      </c>
      <c r="P31" s="794">
        <v>795</v>
      </c>
      <c r="Q31" s="797">
        <v>557.08000000000004</v>
      </c>
      <c r="R31" s="794">
        <f>39394+2331</f>
        <v>41725</v>
      </c>
      <c r="S31" s="797">
        <v>37501.279999999999</v>
      </c>
      <c r="T31" s="794"/>
      <c r="U31" s="797"/>
      <c r="V31" s="794">
        <v>88857</v>
      </c>
      <c r="W31" s="797">
        <v>84317.88</v>
      </c>
      <c r="X31" s="794">
        <v>130734</v>
      </c>
      <c r="Y31" s="795">
        <v>129821.16</v>
      </c>
      <c r="Z31" s="796">
        <f>36+8772+12917</f>
        <v>21725</v>
      </c>
      <c r="AA31" s="795">
        <v>17746.349999999999</v>
      </c>
      <c r="AB31" s="796">
        <v>28830</v>
      </c>
      <c r="AC31" s="797">
        <v>12971.16</v>
      </c>
      <c r="AD31" s="794">
        <v>29469</v>
      </c>
      <c r="AE31" s="795">
        <v>25016.87</v>
      </c>
      <c r="AF31" s="796">
        <v>319404</v>
      </c>
      <c r="AG31" s="795">
        <v>309623.01</v>
      </c>
      <c r="AH31" s="796">
        <v>83769</v>
      </c>
      <c r="AI31" s="797">
        <v>59714.3</v>
      </c>
      <c r="AJ31" s="794">
        <v>38586</v>
      </c>
      <c r="AK31" s="795">
        <v>35355.629999999997</v>
      </c>
      <c r="AL31" s="796"/>
      <c r="AM31" s="795"/>
      <c r="AN31" s="796">
        <v>118643</v>
      </c>
      <c r="AO31" s="795">
        <v>155210.71</v>
      </c>
      <c r="AP31" s="796">
        <f>395+98+3263</f>
        <v>3756</v>
      </c>
      <c r="AQ31" s="795">
        <v>7544.37</v>
      </c>
      <c r="AR31" s="796">
        <v>25097</v>
      </c>
      <c r="AS31" s="795">
        <v>23605.759999999998</v>
      </c>
      <c r="AT31" s="796"/>
      <c r="AU31" s="795"/>
      <c r="AV31" s="796">
        <f t="shared" si="0"/>
        <v>1104151</v>
      </c>
      <c r="AW31" s="795">
        <f t="shared" si="0"/>
        <v>2646011.71</v>
      </c>
      <c r="AX31" s="796"/>
      <c r="AY31" s="795">
        <v>21.44</v>
      </c>
      <c r="AZ31" s="796">
        <f t="shared" si="1"/>
        <v>1104151</v>
      </c>
      <c r="BA31" s="797">
        <f t="shared" si="1"/>
        <v>2646033.15</v>
      </c>
    </row>
    <row r="32" spans="1:53" x14ac:dyDescent="0.3">
      <c r="A32" s="302" t="s">
        <v>221</v>
      </c>
      <c r="B32" s="798"/>
      <c r="C32" s="799"/>
      <c r="D32" s="796"/>
      <c r="E32" s="795"/>
      <c r="F32" s="796"/>
      <c r="G32" s="795"/>
      <c r="H32" s="796"/>
      <c r="I32" s="795"/>
      <c r="J32" s="796"/>
      <c r="K32" s="795"/>
      <c r="L32" s="796"/>
      <c r="M32" s="797"/>
      <c r="N32" s="796"/>
      <c r="O32" s="797"/>
      <c r="P32" s="794"/>
      <c r="Q32" s="797"/>
      <c r="R32" s="794"/>
      <c r="S32" s="797"/>
      <c r="T32" s="794"/>
      <c r="U32" s="797"/>
      <c r="V32" s="794"/>
      <c r="W32" s="797"/>
      <c r="X32" s="794"/>
      <c r="Y32" s="795"/>
      <c r="Z32" s="796"/>
      <c r="AA32" s="795"/>
      <c r="AB32" s="796"/>
      <c r="AC32" s="797"/>
      <c r="AD32" s="794"/>
      <c r="AE32" s="795"/>
      <c r="AF32" s="796"/>
      <c r="AG32" s="795"/>
      <c r="AH32" s="796"/>
      <c r="AI32" s="797"/>
      <c r="AJ32" s="794"/>
      <c r="AK32" s="795"/>
      <c r="AL32" s="796"/>
      <c r="AM32" s="795"/>
      <c r="AN32" s="796"/>
      <c r="AO32" s="795"/>
      <c r="AP32" s="796"/>
      <c r="AQ32" s="795"/>
      <c r="AR32" s="796"/>
      <c r="AS32" s="795"/>
      <c r="AT32" s="796"/>
      <c r="AU32" s="795"/>
      <c r="AV32" s="796">
        <f t="shared" si="0"/>
        <v>0</v>
      </c>
      <c r="AW32" s="795">
        <f t="shared" si="0"/>
        <v>0</v>
      </c>
      <c r="AX32" s="796"/>
      <c r="AY32" s="795"/>
      <c r="AZ32" s="796">
        <f t="shared" si="1"/>
        <v>0</v>
      </c>
      <c r="BA32" s="797">
        <f t="shared" si="1"/>
        <v>0</v>
      </c>
    </row>
    <row r="33" spans="1:53" x14ac:dyDescent="0.3">
      <c r="A33" s="302" t="s">
        <v>283</v>
      </c>
      <c r="B33" s="798"/>
      <c r="C33" s="799"/>
      <c r="D33" s="796">
        <v>22597</v>
      </c>
      <c r="E33" s="795">
        <v>17833.45</v>
      </c>
      <c r="F33" s="796"/>
      <c r="G33" s="795"/>
      <c r="H33" s="796"/>
      <c r="I33" s="795"/>
      <c r="J33" s="796"/>
      <c r="K33" s="795"/>
      <c r="L33" s="796"/>
      <c r="M33" s="797"/>
      <c r="N33" s="796"/>
      <c r="O33" s="797"/>
      <c r="P33" s="794"/>
      <c r="Q33" s="797"/>
      <c r="R33" s="794"/>
      <c r="S33" s="797"/>
      <c r="T33" s="794">
        <v>28270</v>
      </c>
      <c r="U33" s="797">
        <v>22273</v>
      </c>
      <c r="V33" s="794"/>
      <c r="W33" s="797"/>
      <c r="X33" s="794"/>
      <c r="Y33" s="795"/>
      <c r="Z33" s="796"/>
      <c r="AA33" s="795"/>
      <c r="AB33" s="796"/>
      <c r="AC33" s="797"/>
      <c r="AD33" s="794"/>
      <c r="AE33" s="795"/>
      <c r="AF33" s="796"/>
      <c r="AG33" s="795"/>
      <c r="AH33" s="796"/>
      <c r="AI33" s="797"/>
      <c r="AJ33" s="794"/>
      <c r="AK33" s="795"/>
      <c r="AL33" s="796"/>
      <c r="AM33" s="795"/>
      <c r="AN33" s="796"/>
      <c r="AO33" s="795"/>
      <c r="AP33" s="796"/>
      <c r="AQ33" s="795"/>
      <c r="AR33" s="796"/>
      <c r="AS33" s="795"/>
      <c r="AT33" s="796">
        <f>17446+104157</f>
        <v>121603</v>
      </c>
      <c r="AU33" s="795">
        <v>98847</v>
      </c>
      <c r="AV33" s="796">
        <f t="shared" si="0"/>
        <v>172470</v>
      </c>
      <c r="AW33" s="795">
        <f t="shared" si="0"/>
        <v>138953.45000000001</v>
      </c>
      <c r="AX33" s="796"/>
      <c r="AY33" s="795"/>
      <c r="AZ33" s="796">
        <f t="shared" si="1"/>
        <v>172470</v>
      </c>
      <c r="BA33" s="797">
        <f t="shared" si="1"/>
        <v>138953.45000000001</v>
      </c>
    </row>
    <row r="34" spans="1:53" x14ac:dyDescent="0.3">
      <c r="A34" s="302" t="s">
        <v>74</v>
      </c>
      <c r="B34" s="798"/>
      <c r="C34" s="799"/>
      <c r="D34" s="796"/>
      <c r="E34" s="795"/>
      <c r="F34" s="796">
        <v>8874</v>
      </c>
      <c r="G34" s="795">
        <v>8821</v>
      </c>
      <c r="H34" s="796"/>
      <c r="I34" s="795"/>
      <c r="J34" s="796"/>
      <c r="K34" s="795"/>
      <c r="L34" s="796"/>
      <c r="M34" s="797"/>
      <c r="N34" s="796"/>
      <c r="O34" s="797"/>
      <c r="P34" s="794">
        <v>59</v>
      </c>
      <c r="Q34" s="797">
        <v>415.98</v>
      </c>
      <c r="R34" s="794"/>
      <c r="S34" s="797"/>
      <c r="T34" s="794"/>
      <c r="U34" s="797"/>
      <c r="V34" s="794"/>
      <c r="W34" s="797"/>
      <c r="X34" s="794">
        <v>1</v>
      </c>
      <c r="Y34" s="795"/>
      <c r="Z34" s="796"/>
      <c r="AA34" s="795"/>
      <c r="AB34" s="796"/>
      <c r="AC34" s="797"/>
      <c r="AD34" s="794">
        <v>12418</v>
      </c>
      <c r="AE34" s="795">
        <v>43257.55</v>
      </c>
      <c r="AF34" s="796"/>
      <c r="AG34" s="808"/>
      <c r="AH34" s="796"/>
      <c r="AI34" s="797"/>
      <c r="AJ34" s="794">
        <v>2760</v>
      </c>
      <c r="AK34" s="795">
        <v>603.24</v>
      </c>
      <c r="AL34" s="796"/>
      <c r="AM34" s="795"/>
      <c r="AN34" s="796"/>
      <c r="AO34" s="795"/>
      <c r="AP34" s="796"/>
      <c r="AQ34" s="795"/>
      <c r="AR34" s="796">
        <v>3855</v>
      </c>
      <c r="AS34" s="795">
        <v>6056.76</v>
      </c>
      <c r="AT34" s="796"/>
      <c r="AU34" s="795"/>
      <c r="AV34" s="796">
        <f t="shared" si="0"/>
        <v>27967</v>
      </c>
      <c r="AW34" s="795">
        <f t="shared" si="0"/>
        <v>59154.53</v>
      </c>
      <c r="AX34" s="796">
        <v>110700</v>
      </c>
      <c r="AY34" s="795"/>
      <c r="AZ34" s="796">
        <f t="shared" si="1"/>
        <v>138667</v>
      </c>
      <c r="BA34" s="797">
        <f t="shared" si="1"/>
        <v>59154.53</v>
      </c>
    </row>
    <row r="35" spans="1:53" s="59" customFormat="1" ht="13.5" x14ac:dyDescent="0.25">
      <c r="A35" s="711" t="s">
        <v>296</v>
      </c>
      <c r="B35" s="801">
        <v>5961904</v>
      </c>
      <c r="C35" s="802">
        <v>513129694</v>
      </c>
      <c r="D35" s="805">
        <v>587730</v>
      </c>
      <c r="E35" s="808">
        <v>529285</v>
      </c>
      <c r="F35" s="805">
        <v>1289777</v>
      </c>
      <c r="G35" s="808">
        <v>1180611</v>
      </c>
      <c r="H35" s="805">
        <v>8390692</v>
      </c>
      <c r="I35" s="808">
        <v>7122844.8899999997</v>
      </c>
      <c r="J35" s="805">
        <v>1389472</v>
      </c>
      <c r="K35" s="808">
        <v>1168203.98</v>
      </c>
      <c r="L35" s="805">
        <v>2543527</v>
      </c>
      <c r="M35" s="806">
        <v>2073495.23</v>
      </c>
      <c r="N35" s="805">
        <v>647787</v>
      </c>
      <c r="O35" s="806">
        <v>579153.74</v>
      </c>
      <c r="P35" s="807">
        <v>729798</v>
      </c>
      <c r="Q35" s="806">
        <v>566514.9</v>
      </c>
      <c r="R35" s="807">
        <v>2077451</v>
      </c>
      <c r="S35" s="806">
        <v>1850488</v>
      </c>
      <c r="T35" s="807">
        <v>780740</v>
      </c>
      <c r="U35" s="806">
        <v>675624.36</v>
      </c>
      <c r="V35" s="807">
        <v>19500380</v>
      </c>
      <c r="W35" s="806">
        <v>16518838.1</v>
      </c>
      <c r="X35" s="807">
        <v>23672454</v>
      </c>
      <c r="Y35" s="808">
        <v>20433479.789999999</v>
      </c>
      <c r="Z35" s="805">
        <v>1370278</v>
      </c>
      <c r="AA35" s="808">
        <v>1171316.58</v>
      </c>
      <c r="AB35" s="805">
        <v>1828513</v>
      </c>
      <c r="AC35" s="806">
        <v>1645612.48</v>
      </c>
      <c r="AD35" s="807">
        <v>5214313</v>
      </c>
      <c r="AE35" s="808">
        <v>4252416.2699999996</v>
      </c>
      <c r="AF35" s="805">
        <v>10336871</v>
      </c>
      <c r="AG35" s="808">
        <v>8583686</v>
      </c>
      <c r="AH35" s="805">
        <v>3321769</v>
      </c>
      <c r="AI35" s="806">
        <v>2765234.63</v>
      </c>
      <c r="AJ35" s="807">
        <v>2726311</v>
      </c>
      <c r="AK35" s="808">
        <v>2404542.11</v>
      </c>
      <c r="AL35" s="805"/>
      <c r="AM35" s="808"/>
      <c r="AN35" s="805">
        <v>25728783</v>
      </c>
      <c r="AO35" s="808">
        <v>21124218.68</v>
      </c>
      <c r="AP35" s="805">
        <v>740411</v>
      </c>
      <c r="AQ35" s="808">
        <v>619519.34</v>
      </c>
      <c r="AR35" s="805">
        <v>1431356</v>
      </c>
      <c r="AS35" s="808">
        <v>113581199</v>
      </c>
      <c r="AT35" s="805">
        <v>5557033</v>
      </c>
      <c r="AU35" s="808">
        <v>4357023.4400000004</v>
      </c>
      <c r="AV35" s="805">
        <f t="shared" si="0"/>
        <v>125827350</v>
      </c>
      <c r="AW35" s="808">
        <f t="shared" si="0"/>
        <v>726333001.5200001</v>
      </c>
      <c r="AX35" s="805">
        <v>406086440</v>
      </c>
      <c r="AY35" s="808">
        <v>359941399.33999997</v>
      </c>
      <c r="AZ35" s="805">
        <f t="shared" si="1"/>
        <v>531913790</v>
      </c>
      <c r="BA35" s="806">
        <f t="shared" si="1"/>
        <v>1086274400.8600001</v>
      </c>
    </row>
    <row r="36" spans="1:53" x14ac:dyDescent="0.3">
      <c r="A36" s="711" t="s">
        <v>297</v>
      </c>
      <c r="B36" s="798"/>
      <c r="C36" s="799"/>
      <c r="D36" s="796"/>
      <c r="E36" s="795"/>
      <c r="F36" s="796"/>
      <c r="G36" s="795"/>
      <c r="H36" s="796"/>
      <c r="I36" s="795"/>
      <c r="J36" s="796"/>
      <c r="K36" s="795"/>
      <c r="L36" s="796"/>
      <c r="M36" s="797"/>
      <c r="N36" s="796"/>
      <c r="O36" s="797"/>
      <c r="P36" s="794"/>
      <c r="Q36" s="797"/>
      <c r="R36" s="794"/>
      <c r="S36" s="797"/>
      <c r="T36" s="794"/>
      <c r="U36" s="797"/>
      <c r="V36" s="794"/>
      <c r="W36" s="797"/>
      <c r="X36" s="794"/>
      <c r="Y36" s="795"/>
      <c r="Z36" s="796"/>
      <c r="AA36" s="795"/>
      <c r="AB36" s="796"/>
      <c r="AC36" s="797"/>
      <c r="AD36" s="794"/>
      <c r="AE36" s="795"/>
      <c r="AF36" s="796"/>
      <c r="AG36" s="795"/>
      <c r="AH36" s="796"/>
      <c r="AI36" s="797"/>
      <c r="AJ36" s="794"/>
      <c r="AK36" s="795"/>
      <c r="AL36" s="796"/>
      <c r="AM36" s="795"/>
      <c r="AN36" s="796"/>
      <c r="AO36" s="795"/>
      <c r="AP36" s="796"/>
      <c r="AQ36" s="795"/>
      <c r="AR36" s="796"/>
      <c r="AS36" s="795"/>
      <c r="AT36" s="796"/>
      <c r="AU36" s="795"/>
      <c r="AV36" s="796">
        <f t="shared" si="0"/>
        <v>0</v>
      </c>
      <c r="AW36" s="795">
        <f t="shared" si="0"/>
        <v>0</v>
      </c>
      <c r="AX36" s="796"/>
      <c r="AY36" s="795"/>
      <c r="AZ36" s="796">
        <f t="shared" si="1"/>
        <v>0</v>
      </c>
      <c r="BA36" s="797">
        <f t="shared" si="1"/>
        <v>0</v>
      </c>
    </row>
    <row r="37" spans="1:53" x14ac:dyDescent="0.3">
      <c r="A37" s="711" t="s">
        <v>298</v>
      </c>
      <c r="B37" s="798"/>
      <c r="C37" s="799"/>
      <c r="D37" s="796"/>
      <c r="E37" s="795"/>
      <c r="F37" s="796"/>
      <c r="G37" s="795"/>
      <c r="H37" s="796"/>
      <c r="I37" s="795"/>
      <c r="J37" s="796"/>
      <c r="K37" s="795"/>
      <c r="L37" s="796"/>
      <c r="M37" s="797"/>
      <c r="N37" s="796"/>
      <c r="O37" s="797"/>
      <c r="P37" s="794"/>
      <c r="Q37" s="797"/>
      <c r="R37" s="794"/>
      <c r="S37" s="797"/>
      <c r="T37" s="794"/>
      <c r="U37" s="797"/>
      <c r="V37" s="794"/>
      <c r="W37" s="797"/>
      <c r="X37" s="794"/>
      <c r="Y37" s="795"/>
      <c r="Z37" s="796"/>
      <c r="AA37" s="795"/>
      <c r="AB37" s="796"/>
      <c r="AC37" s="797"/>
      <c r="AD37" s="794"/>
      <c r="AE37" s="795"/>
      <c r="AF37" s="796"/>
      <c r="AG37" s="795"/>
      <c r="AH37" s="796"/>
      <c r="AI37" s="797"/>
      <c r="AJ37" s="794"/>
      <c r="AK37" s="795"/>
      <c r="AL37" s="796"/>
      <c r="AM37" s="795"/>
      <c r="AN37" s="796"/>
      <c r="AO37" s="795"/>
      <c r="AP37" s="796"/>
      <c r="AQ37" s="795"/>
      <c r="AR37" s="796"/>
      <c r="AS37" s="795"/>
      <c r="AT37" s="796"/>
      <c r="AU37" s="795"/>
      <c r="AV37" s="796">
        <f t="shared" si="0"/>
        <v>0</v>
      </c>
      <c r="AW37" s="795">
        <f t="shared" si="0"/>
        <v>0</v>
      </c>
      <c r="AX37" s="796"/>
      <c r="AY37" s="795"/>
      <c r="AZ37" s="796">
        <f t="shared" si="1"/>
        <v>0</v>
      </c>
      <c r="BA37" s="797">
        <f t="shared" si="1"/>
        <v>0</v>
      </c>
    </row>
    <row r="38" spans="1:53" x14ac:dyDescent="0.3">
      <c r="A38" s="302" t="s">
        <v>299</v>
      </c>
      <c r="B38" s="798">
        <v>292875</v>
      </c>
      <c r="C38" s="799">
        <v>220929.12</v>
      </c>
      <c r="D38" s="796">
        <v>1890</v>
      </c>
      <c r="E38" s="795">
        <v>9083.75</v>
      </c>
      <c r="F38" s="796">
        <v>59886</v>
      </c>
      <c r="G38" s="795">
        <v>63310</v>
      </c>
      <c r="H38" s="796">
        <v>1073123</v>
      </c>
      <c r="I38" s="795">
        <v>991583.53</v>
      </c>
      <c r="J38" s="796">
        <v>58675</v>
      </c>
      <c r="K38" s="795">
        <v>46934.97</v>
      </c>
      <c r="L38" s="796">
        <v>123895</v>
      </c>
      <c r="M38" s="797">
        <v>117890.62</v>
      </c>
      <c r="N38" s="796">
        <v>77156</v>
      </c>
      <c r="O38" s="797">
        <v>82352.960000000006</v>
      </c>
      <c r="P38" s="794">
        <v>23596</v>
      </c>
      <c r="Q38" s="797">
        <v>28888.13</v>
      </c>
      <c r="R38" s="794">
        <v>119496</v>
      </c>
      <c r="S38" s="797">
        <v>112683.04</v>
      </c>
      <c r="T38" s="794">
        <v>7040</v>
      </c>
      <c r="U38" s="797">
        <v>23162.18</v>
      </c>
      <c r="V38" s="794">
        <v>897778</v>
      </c>
      <c r="W38" s="797">
        <v>820986.23</v>
      </c>
      <c r="X38" s="794">
        <v>934254</v>
      </c>
      <c r="Y38" s="795">
        <v>962374.54</v>
      </c>
      <c r="Z38" s="796">
        <v>68497</v>
      </c>
      <c r="AA38" s="795">
        <v>72678.23</v>
      </c>
      <c r="AB38" s="796">
        <v>50481</v>
      </c>
      <c r="AC38" s="797">
        <v>64511.839999999997</v>
      </c>
      <c r="AD38" s="794">
        <v>375322</v>
      </c>
      <c r="AE38" s="795">
        <v>347335.88</v>
      </c>
      <c r="AF38" s="796">
        <v>415428</v>
      </c>
      <c r="AG38" s="795">
        <v>358349.62</v>
      </c>
      <c r="AH38" s="796">
        <v>129114</v>
      </c>
      <c r="AI38" s="797">
        <v>132403.22</v>
      </c>
      <c r="AJ38" s="794">
        <v>128282</v>
      </c>
      <c r="AK38" s="795">
        <v>123014.77</v>
      </c>
      <c r="AL38" s="796"/>
      <c r="AM38" s="795"/>
      <c r="AN38" s="796">
        <v>1103019</v>
      </c>
      <c r="AO38" s="795">
        <v>868369.85</v>
      </c>
      <c r="AP38" s="796">
        <v>72453</v>
      </c>
      <c r="AQ38" s="795">
        <v>62255.58</v>
      </c>
      <c r="AR38" s="796">
        <v>70642</v>
      </c>
      <c r="AS38" s="795">
        <v>58343.77</v>
      </c>
      <c r="AT38" s="796">
        <v>220508</v>
      </c>
      <c r="AU38" s="795">
        <v>212514.96</v>
      </c>
      <c r="AV38" s="796">
        <f t="shared" si="0"/>
        <v>6303410</v>
      </c>
      <c r="AW38" s="795">
        <f t="shared" si="0"/>
        <v>5779956.7899999972</v>
      </c>
      <c r="AX38" s="796">
        <v>636479</v>
      </c>
      <c r="AY38" s="795">
        <v>71390.16</v>
      </c>
      <c r="AZ38" s="796">
        <f t="shared" si="1"/>
        <v>6939889</v>
      </c>
      <c r="BA38" s="797">
        <f t="shared" si="1"/>
        <v>5851346.9499999974</v>
      </c>
    </row>
    <row r="39" spans="1:53" x14ac:dyDescent="0.3">
      <c r="A39" s="302" t="s">
        <v>300</v>
      </c>
      <c r="B39" s="798">
        <v>2593556</v>
      </c>
      <c r="C39" s="799">
        <v>2071341.86</v>
      </c>
      <c r="D39" s="796">
        <v>227205</v>
      </c>
      <c r="E39" s="795">
        <v>192002.18</v>
      </c>
      <c r="F39" s="796">
        <v>7031286</v>
      </c>
      <c r="G39" s="795">
        <v>624887</v>
      </c>
      <c r="H39" s="796">
        <v>3917061</v>
      </c>
      <c r="I39" s="795">
        <v>3275714.49</v>
      </c>
      <c r="J39" s="796">
        <v>820598</v>
      </c>
      <c r="K39" s="795">
        <v>690375.41</v>
      </c>
      <c r="L39" s="796">
        <v>1100512</v>
      </c>
      <c r="M39" s="797">
        <v>810804.12</v>
      </c>
      <c r="N39" s="796">
        <v>483019</v>
      </c>
      <c r="O39" s="797">
        <v>421030.86</v>
      </c>
      <c r="P39" s="794">
        <v>318680</v>
      </c>
      <c r="Q39" s="797">
        <v>241746.25</v>
      </c>
      <c r="R39" s="794">
        <v>1572426</v>
      </c>
      <c r="S39" s="797">
        <v>1384373.25</v>
      </c>
      <c r="T39" s="794">
        <v>480050</v>
      </c>
      <c r="U39" s="797">
        <v>383971.03</v>
      </c>
      <c r="V39" s="794">
        <v>10382834</v>
      </c>
      <c r="W39" s="797">
        <v>8411298.4199999999</v>
      </c>
      <c r="X39" s="794">
        <v>7401097</v>
      </c>
      <c r="Y39" s="795">
        <v>5887638.21</v>
      </c>
      <c r="Z39" s="796">
        <v>821479</v>
      </c>
      <c r="AA39" s="795">
        <v>700074.86</v>
      </c>
      <c r="AB39" s="796">
        <v>1042639</v>
      </c>
      <c r="AC39" s="797">
        <v>988367.99</v>
      </c>
      <c r="AD39" s="794">
        <v>2693683</v>
      </c>
      <c r="AE39" s="795">
        <v>2176537.7999999998</v>
      </c>
      <c r="AF39" s="796">
        <v>6590284</v>
      </c>
      <c r="AG39" s="795">
        <v>5497560.21</v>
      </c>
      <c r="AH39" s="796">
        <v>2297882</v>
      </c>
      <c r="AI39" s="797">
        <v>1882703.9</v>
      </c>
      <c r="AJ39" s="794">
        <v>1873830</v>
      </c>
      <c r="AK39" s="795">
        <v>1645384.81</v>
      </c>
      <c r="AL39" s="796"/>
      <c r="AM39" s="795"/>
      <c r="AN39" s="796">
        <v>10815839</v>
      </c>
      <c r="AO39" s="795">
        <v>8895276.7599999998</v>
      </c>
      <c r="AP39" s="796">
        <v>586307</v>
      </c>
      <c r="AQ39" s="795">
        <v>473689.12</v>
      </c>
      <c r="AR39" s="796">
        <v>1054561</v>
      </c>
      <c r="AS39" s="795">
        <v>800974.14</v>
      </c>
      <c r="AT39" s="796">
        <v>3321436</v>
      </c>
      <c r="AU39" s="795">
        <v>2579595.9900000002</v>
      </c>
      <c r="AV39" s="796">
        <f t="shared" si="0"/>
        <v>67426264</v>
      </c>
      <c r="AW39" s="795">
        <f t="shared" si="0"/>
        <v>50035348.659999996</v>
      </c>
      <c r="AX39" s="796">
        <v>382977428</v>
      </c>
      <c r="AY39" s="795">
        <v>337370131.04000002</v>
      </c>
      <c r="AZ39" s="796">
        <f t="shared" si="1"/>
        <v>450403692</v>
      </c>
      <c r="BA39" s="797">
        <f t="shared" si="1"/>
        <v>387405479.70000005</v>
      </c>
    </row>
    <row r="40" spans="1:53" x14ac:dyDescent="0.3">
      <c r="A40" s="302" t="s">
        <v>301</v>
      </c>
      <c r="B40" s="798">
        <v>3024984</v>
      </c>
      <c r="C40" s="799">
        <v>2775549.61</v>
      </c>
      <c r="D40" s="796">
        <v>109264</v>
      </c>
      <c r="E40" s="795">
        <v>102354.56</v>
      </c>
      <c r="F40" s="796">
        <v>381456</v>
      </c>
      <c r="G40" s="795">
        <v>359565</v>
      </c>
      <c r="H40" s="796">
        <v>3304025</v>
      </c>
      <c r="I40" s="795">
        <v>2727236.42</v>
      </c>
      <c r="J40" s="796">
        <v>168946</v>
      </c>
      <c r="K40" s="795">
        <v>134325.29999999999</v>
      </c>
      <c r="L40" s="796">
        <v>1299634</v>
      </c>
      <c r="M40" s="797">
        <v>1129942.76</v>
      </c>
      <c r="N40" s="796">
        <v>42136</v>
      </c>
      <c r="O40" s="797">
        <v>40419.480000000003</v>
      </c>
      <c r="P40" s="794">
        <v>168366</v>
      </c>
      <c r="Q40" s="797">
        <v>120880.71</v>
      </c>
      <c r="R40" s="794">
        <v>232287</v>
      </c>
      <c r="S40" s="797">
        <v>210671.54</v>
      </c>
      <c r="T40" s="794">
        <v>47261</v>
      </c>
      <c r="U40" s="797">
        <v>67036.34</v>
      </c>
      <c r="V40" s="794">
        <v>8193168</v>
      </c>
      <c r="W40" s="797">
        <v>7330061.9900000002</v>
      </c>
      <c r="X40" s="794">
        <v>15223181</v>
      </c>
      <c r="Y40" s="795">
        <v>13444471.109999999</v>
      </c>
      <c r="Z40" s="796">
        <v>413352</v>
      </c>
      <c r="AA40" s="795">
        <v>331671.51</v>
      </c>
      <c r="AB40" s="796">
        <v>678191</v>
      </c>
      <c r="AC40" s="797">
        <v>546163.73</v>
      </c>
      <c r="AD40" s="794">
        <v>2221001</v>
      </c>
      <c r="AE40" s="795">
        <v>1790764.22</v>
      </c>
      <c r="AF40" s="796">
        <v>3241419</v>
      </c>
      <c r="AG40" s="795">
        <v>2616528.29</v>
      </c>
      <c r="AH40" s="796">
        <v>789037</v>
      </c>
      <c r="AI40" s="797">
        <v>666811.25</v>
      </c>
      <c r="AJ40" s="794">
        <v>680043</v>
      </c>
      <c r="AK40" s="795">
        <v>583013.02</v>
      </c>
      <c r="AL40" s="796"/>
      <c r="AM40" s="795"/>
      <c r="AN40" s="796">
        <v>13615839</v>
      </c>
      <c r="AO40" s="795">
        <v>10944848.220000001</v>
      </c>
      <c r="AP40" s="796">
        <v>49670</v>
      </c>
      <c r="AQ40" s="795">
        <v>52782.26</v>
      </c>
      <c r="AR40" s="796">
        <v>270648</v>
      </c>
      <c r="AS40" s="795">
        <v>255837.89</v>
      </c>
      <c r="AT40" s="796">
        <v>1988082</v>
      </c>
      <c r="AU40" s="795">
        <v>1486762.97</v>
      </c>
      <c r="AV40" s="796">
        <f t="shared" si="0"/>
        <v>56141990</v>
      </c>
      <c r="AW40" s="795">
        <f t="shared" si="0"/>
        <v>47717698.18</v>
      </c>
      <c r="AX40" s="796">
        <v>2344704</v>
      </c>
      <c r="AY40" s="795">
        <v>3563464.95</v>
      </c>
      <c r="AZ40" s="796">
        <f t="shared" si="1"/>
        <v>58486694</v>
      </c>
      <c r="BA40" s="797">
        <f t="shared" si="1"/>
        <v>51281163.130000003</v>
      </c>
    </row>
    <row r="41" spans="1:53" x14ac:dyDescent="0.3">
      <c r="A41" s="302" t="s">
        <v>302</v>
      </c>
      <c r="B41" s="798">
        <v>27180</v>
      </c>
      <c r="C41" s="799">
        <v>19975.919999999998</v>
      </c>
      <c r="D41" s="796">
        <v>7203</v>
      </c>
      <c r="E41" s="795">
        <v>6980.29</v>
      </c>
      <c r="F41" s="796"/>
      <c r="G41" s="795"/>
      <c r="H41" s="796">
        <v>51224</v>
      </c>
      <c r="I41" s="795">
        <v>45719.26</v>
      </c>
      <c r="J41" s="796">
        <v>2959</v>
      </c>
      <c r="K41" s="795">
        <v>2279</v>
      </c>
      <c r="L41" s="796">
        <v>661</v>
      </c>
      <c r="M41" s="797">
        <v>277.58999999999997</v>
      </c>
      <c r="N41" s="796">
        <v>8416</v>
      </c>
      <c r="O41" s="797">
        <v>5524.17</v>
      </c>
      <c r="P41" s="794">
        <v>1771</v>
      </c>
      <c r="Q41" s="797">
        <v>1381.74</v>
      </c>
      <c r="R41" s="794">
        <v>60539</v>
      </c>
      <c r="S41" s="797">
        <v>50899.199999999997</v>
      </c>
      <c r="T41" s="794">
        <v>3408</v>
      </c>
      <c r="U41" s="797">
        <v>2259.59</v>
      </c>
      <c r="V41" s="794">
        <v>59277</v>
      </c>
      <c r="W41" s="797">
        <v>37588.53</v>
      </c>
      <c r="X41" s="794">
        <v>86008</v>
      </c>
      <c r="Y41" s="795">
        <v>59155.1</v>
      </c>
      <c r="Z41" s="796">
        <v>1254</v>
      </c>
      <c r="AA41" s="795">
        <v>857.89</v>
      </c>
      <c r="AB41" s="796">
        <v>2028</v>
      </c>
      <c r="AC41" s="797">
        <v>1266.07</v>
      </c>
      <c r="AD41" s="794">
        <v>7385</v>
      </c>
      <c r="AE41" s="795">
        <v>9663.24</v>
      </c>
      <c r="AF41" s="796">
        <v>62989</v>
      </c>
      <c r="AG41" s="795">
        <v>50374.66</v>
      </c>
      <c r="AH41" s="796">
        <v>14149</v>
      </c>
      <c r="AI41" s="797">
        <v>7431.08</v>
      </c>
      <c r="AJ41" s="794">
        <v>7530</v>
      </c>
      <c r="AK41" s="795">
        <v>5921.34</v>
      </c>
      <c r="AL41" s="796"/>
      <c r="AM41" s="795"/>
      <c r="AN41" s="796">
        <v>35379</v>
      </c>
      <c r="AO41" s="795">
        <v>33212.78</v>
      </c>
      <c r="AP41" s="796">
        <v>8184</v>
      </c>
      <c r="AQ41" s="795">
        <v>5742.9</v>
      </c>
      <c r="AR41" s="796">
        <v>1678</v>
      </c>
      <c r="AS41" s="795">
        <v>1140.22</v>
      </c>
      <c r="AT41" s="796">
        <v>50331</v>
      </c>
      <c r="AU41" s="795">
        <v>46844.41</v>
      </c>
      <c r="AV41" s="796">
        <f t="shared" si="0"/>
        <v>499553</v>
      </c>
      <c r="AW41" s="795">
        <f t="shared" si="0"/>
        <v>394494.9800000001</v>
      </c>
      <c r="AX41" s="796">
        <v>11006991</v>
      </c>
      <c r="AY41" s="795">
        <v>10742290.18</v>
      </c>
      <c r="AZ41" s="796">
        <f t="shared" si="1"/>
        <v>11506544</v>
      </c>
      <c r="BA41" s="797">
        <f t="shared" si="1"/>
        <v>11136785.16</v>
      </c>
    </row>
    <row r="42" spans="1:53" x14ac:dyDescent="0.3">
      <c r="A42" s="302" t="s">
        <v>303</v>
      </c>
      <c r="B42" s="798">
        <v>9598</v>
      </c>
      <c r="C42" s="799">
        <v>9022.83</v>
      </c>
      <c r="D42" s="796">
        <v>8072</v>
      </c>
      <c r="E42" s="795">
        <v>9439.18</v>
      </c>
      <c r="F42" s="796">
        <v>1205</v>
      </c>
      <c r="G42" s="795">
        <v>1114</v>
      </c>
      <c r="H42" s="796">
        <v>38349</v>
      </c>
      <c r="I42" s="795">
        <v>36232.910000000003</v>
      </c>
      <c r="J42" s="796">
        <v>7415</v>
      </c>
      <c r="K42" s="795">
        <v>1990.38</v>
      </c>
      <c r="L42" s="796">
        <v>4282</v>
      </c>
      <c r="M42" s="797">
        <v>4119.43</v>
      </c>
      <c r="N42" s="796">
        <v>1831</v>
      </c>
      <c r="O42" s="797">
        <v>2682.93</v>
      </c>
      <c r="P42" s="794">
        <v>7932</v>
      </c>
      <c r="Q42" s="797">
        <v>9543.8799999999992</v>
      </c>
      <c r="R42" s="794">
        <v>2855</v>
      </c>
      <c r="S42" s="797">
        <v>3321.34</v>
      </c>
      <c r="T42" s="794">
        <v>6150</v>
      </c>
      <c r="U42" s="797">
        <v>8227.57</v>
      </c>
      <c r="V42" s="794">
        <v>34484</v>
      </c>
      <c r="W42" s="797">
        <v>33026.400000000001</v>
      </c>
      <c r="X42" s="794">
        <v>47308</v>
      </c>
      <c r="Y42" s="795">
        <v>54242.11</v>
      </c>
      <c r="Z42" s="796">
        <v>13612</v>
      </c>
      <c r="AA42" s="795">
        <v>12932.17</v>
      </c>
      <c r="AB42" s="796">
        <v>1949</v>
      </c>
      <c r="AC42" s="797">
        <v>3059.44</v>
      </c>
      <c r="AD42" s="794">
        <v>8081</v>
      </c>
      <c r="AE42" s="795">
        <v>7868.24</v>
      </c>
      <c r="AF42" s="796">
        <v>24439</v>
      </c>
      <c r="AG42" s="795">
        <v>21271.7</v>
      </c>
      <c r="AH42" s="796">
        <v>11571</v>
      </c>
      <c r="AI42" s="797">
        <v>12755.36</v>
      </c>
      <c r="AJ42" s="794">
        <v>5169</v>
      </c>
      <c r="AK42" s="795">
        <v>5438.89</v>
      </c>
      <c r="AL42" s="796"/>
      <c r="AM42" s="795"/>
      <c r="AN42" s="796">
        <v>53462</v>
      </c>
      <c r="AO42" s="795">
        <v>56409.07</v>
      </c>
      <c r="AP42" s="796">
        <v>5575</v>
      </c>
      <c r="AQ42" s="795">
        <v>6544.46</v>
      </c>
      <c r="AR42" s="796">
        <v>2854</v>
      </c>
      <c r="AS42" s="795">
        <v>2534.0500000000002</v>
      </c>
      <c r="AT42" s="796">
        <v>21117</v>
      </c>
      <c r="AU42" s="795">
        <v>19019.47</v>
      </c>
      <c r="AV42" s="796">
        <f t="shared" si="0"/>
        <v>317310</v>
      </c>
      <c r="AW42" s="795">
        <f t="shared" si="0"/>
        <v>320795.81000000006</v>
      </c>
      <c r="AX42" s="796">
        <v>344305</v>
      </c>
      <c r="AY42" s="795">
        <v>297657.76</v>
      </c>
      <c r="AZ42" s="796">
        <f t="shared" si="1"/>
        <v>661615</v>
      </c>
      <c r="BA42" s="797">
        <f t="shared" si="1"/>
        <v>618453.57000000007</v>
      </c>
    </row>
    <row r="43" spans="1:53" x14ac:dyDescent="0.3">
      <c r="A43" s="711" t="s">
        <v>304</v>
      </c>
      <c r="B43" s="798"/>
      <c r="C43" s="799"/>
      <c r="D43" s="796"/>
      <c r="E43" s="795"/>
      <c r="F43" s="796"/>
      <c r="G43" s="795"/>
      <c r="H43" s="796"/>
      <c r="I43" s="795"/>
      <c r="J43" s="796"/>
      <c r="K43" s="795"/>
      <c r="L43" s="796"/>
      <c r="M43" s="797"/>
      <c r="N43" s="796"/>
      <c r="O43" s="797"/>
      <c r="P43" s="794"/>
      <c r="Q43" s="797"/>
      <c r="R43" s="794"/>
      <c r="S43" s="797"/>
      <c r="T43" s="794"/>
      <c r="U43" s="797"/>
      <c r="V43" s="794"/>
      <c r="W43" s="797"/>
      <c r="X43" s="794"/>
      <c r="Y43" s="795"/>
      <c r="Z43" s="796"/>
      <c r="AA43" s="795"/>
      <c r="AB43" s="796"/>
      <c r="AC43" s="797"/>
      <c r="AD43" s="794"/>
      <c r="AE43" s="795"/>
      <c r="AF43" s="796"/>
      <c r="AG43" s="795"/>
      <c r="AH43" s="796"/>
      <c r="AI43" s="797"/>
      <c r="AJ43" s="794"/>
      <c r="AK43" s="795"/>
      <c r="AL43" s="796"/>
      <c r="AM43" s="795"/>
      <c r="AN43" s="796"/>
      <c r="AO43" s="795"/>
      <c r="AP43" s="796"/>
      <c r="AQ43" s="795"/>
      <c r="AR43" s="796"/>
      <c r="AS43" s="795"/>
      <c r="AT43" s="796"/>
      <c r="AU43" s="795"/>
      <c r="AV43" s="796">
        <f t="shared" si="0"/>
        <v>0</v>
      </c>
      <c r="AW43" s="795">
        <f t="shared" si="0"/>
        <v>0</v>
      </c>
      <c r="AX43" s="796"/>
      <c r="AY43" s="795"/>
      <c r="AZ43" s="796">
        <f t="shared" si="1"/>
        <v>0</v>
      </c>
      <c r="BA43" s="797">
        <f t="shared" si="1"/>
        <v>0</v>
      </c>
    </row>
    <row r="44" spans="1:53" x14ac:dyDescent="0.3">
      <c r="A44" s="711" t="s">
        <v>305</v>
      </c>
      <c r="B44" s="798"/>
      <c r="C44" s="799"/>
      <c r="D44" s="796"/>
      <c r="E44" s="795"/>
      <c r="F44" s="796"/>
      <c r="G44" s="795"/>
      <c r="H44" s="796"/>
      <c r="I44" s="795"/>
      <c r="J44" s="796"/>
      <c r="K44" s="795"/>
      <c r="L44" s="796"/>
      <c r="M44" s="797"/>
      <c r="N44" s="796">
        <v>2512</v>
      </c>
      <c r="O44" s="797">
        <v>1640.2</v>
      </c>
      <c r="P44" s="794"/>
      <c r="Q44" s="797"/>
      <c r="R44" s="794">
        <v>240</v>
      </c>
      <c r="S44" s="797">
        <v>847.93</v>
      </c>
      <c r="T44" s="794"/>
      <c r="U44" s="797"/>
      <c r="V44" s="794"/>
      <c r="W44" s="797"/>
      <c r="X44" s="794"/>
      <c r="Y44" s="795"/>
      <c r="Z44" s="796"/>
      <c r="AA44" s="795"/>
      <c r="AB44" s="796"/>
      <c r="AC44" s="797"/>
      <c r="AD44" s="794"/>
      <c r="AE44" s="795"/>
      <c r="AF44" s="796"/>
      <c r="AG44" s="795"/>
      <c r="AH44" s="796"/>
      <c r="AI44" s="797"/>
      <c r="AJ44" s="794"/>
      <c r="AK44" s="795"/>
      <c r="AL44" s="796"/>
      <c r="AM44" s="795"/>
      <c r="AN44" s="796"/>
      <c r="AO44" s="795"/>
      <c r="AP44" s="796"/>
      <c r="AQ44" s="795"/>
      <c r="AR44" s="796"/>
      <c r="AS44" s="795"/>
      <c r="AT44" s="796"/>
      <c r="AU44" s="795"/>
      <c r="AV44" s="796"/>
      <c r="AW44" s="795"/>
      <c r="AX44" s="796"/>
      <c r="AY44" s="795"/>
      <c r="AZ44" s="796">
        <f t="shared" si="1"/>
        <v>0</v>
      </c>
      <c r="BA44" s="797">
        <f t="shared" si="1"/>
        <v>0</v>
      </c>
    </row>
    <row r="45" spans="1:53" x14ac:dyDescent="0.3">
      <c r="A45" s="302" t="s">
        <v>306</v>
      </c>
      <c r="B45" s="798">
        <v>30339</v>
      </c>
      <c r="C45" s="799">
        <v>30566</v>
      </c>
      <c r="D45" s="796">
        <v>2115</v>
      </c>
      <c r="E45" s="795">
        <v>1638.89</v>
      </c>
      <c r="F45" s="796">
        <v>1548</v>
      </c>
      <c r="G45" s="795">
        <v>2715</v>
      </c>
      <c r="H45" s="796">
        <v>13211</v>
      </c>
      <c r="I45" s="795">
        <v>14532.39</v>
      </c>
      <c r="J45" s="796">
        <v>14367</v>
      </c>
      <c r="K45" s="795">
        <v>6581.82</v>
      </c>
      <c r="L45" s="796">
        <v>23336</v>
      </c>
      <c r="M45" s="797">
        <v>5185.29</v>
      </c>
      <c r="N45" s="796">
        <v>2036</v>
      </c>
      <c r="O45" s="797">
        <v>2250.79</v>
      </c>
      <c r="P45" s="794">
        <v>25116</v>
      </c>
      <c r="Q45" s="797">
        <v>4074.76</v>
      </c>
      <c r="R45" s="794">
        <v>9682</v>
      </c>
      <c r="S45" s="797">
        <v>13103.25</v>
      </c>
      <c r="T45" s="794">
        <v>4321</v>
      </c>
      <c r="U45" s="797">
        <v>5683.69</v>
      </c>
      <c r="V45" s="794">
        <v>60899</v>
      </c>
      <c r="W45" s="797">
        <v>48039.62</v>
      </c>
      <c r="X45" s="794">
        <v>25244</v>
      </c>
      <c r="Y45" s="795">
        <v>52465.599999999999</v>
      </c>
      <c r="Z45" s="796">
        <v>14435</v>
      </c>
      <c r="AA45" s="795">
        <v>6536.72</v>
      </c>
      <c r="AB45" s="796">
        <v>16752</v>
      </c>
      <c r="AC45" s="797">
        <v>9564.2000000000007</v>
      </c>
      <c r="AD45" s="794">
        <v>10014</v>
      </c>
      <c r="AE45" s="795">
        <v>12401.39</v>
      </c>
      <c r="AF45" s="796">
        <v>41467</v>
      </c>
      <c r="AG45" s="795">
        <v>44282.59</v>
      </c>
      <c r="AH45" s="796">
        <v>7427</v>
      </c>
      <c r="AI45" s="797">
        <v>13991</v>
      </c>
      <c r="AJ45" s="794">
        <v>14988</v>
      </c>
      <c r="AK45" s="795">
        <v>16251.47</v>
      </c>
      <c r="AL45" s="796"/>
      <c r="AM45" s="795"/>
      <c r="AN45" s="796">
        <v>337093</v>
      </c>
      <c r="AO45" s="795">
        <v>281325.38</v>
      </c>
      <c r="AP45" s="796">
        <v>9958</v>
      </c>
      <c r="AQ45" s="795">
        <v>11974.98</v>
      </c>
      <c r="AR45" s="796">
        <v>10279</v>
      </c>
      <c r="AS45" s="795">
        <v>8460.23</v>
      </c>
      <c r="AT45" s="796">
        <v>15805</v>
      </c>
      <c r="AU45" s="795">
        <v>15960.59</v>
      </c>
      <c r="AV45" s="796"/>
      <c r="AW45" s="795"/>
      <c r="AX45" s="796">
        <v>1499398</v>
      </c>
      <c r="AY45" s="795">
        <v>1527091.24</v>
      </c>
      <c r="AZ45" s="796">
        <f t="shared" si="1"/>
        <v>1499398</v>
      </c>
      <c r="BA45" s="797">
        <f t="shared" si="1"/>
        <v>1527091.24</v>
      </c>
    </row>
    <row r="46" spans="1:53" x14ac:dyDescent="0.3">
      <c r="A46" s="302" t="s">
        <v>307</v>
      </c>
      <c r="B46" s="798">
        <v>152487</v>
      </c>
      <c r="C46" s="799">
        <v>149052</v>
      </c>
      <c r="D46" s="796">
        <v>13548</v>
      </c>
      <c r="E46" s="795">
        <v>15786.23</v>
      </c>
      <c r="F46" s="796">
        <v>41309</v>
      </c>
      <c r="G46" s="795">
        <v>46415</v>
      </c>
      <c r="H46" s="796">
        <v>210979</v>
      </c>
      <c r="I46" s="795">
        <v>209948.67</v>
      </c>
      <c r="J46" s="796">
        <v>45862</v>
      </c>
      <c r="K46" s="795">
        <v>44766</v>
      </c>
      <c r="L46" s="796">
        <v>46312</v>
      </c>
      <c r="M46" s="797">
        <v>45324</v>
      </c>
      <c r="N46" s="796">
        <v>35776</v>
      </c>
      <c r="O46" s="797">
        <v>35917.589999999997</v>
      </c>
      <c r="P46" s="794">
        <v>36736</v>
      </c>
      <c r="Q46" s="797">
        <v>27169.62</v>
      </c>
      <c r="R46" s="794">
        <v>66718</v>
      </c>
      <c r="S46" s="797">
        <v>59485.07</v>
      </c>
      <c r="T46" s="794">
        <v>24067</v>
      </c>
      <c r="U46" s="797">
        <v>20324.5</v>
      </c>
      <c r="V46" s="794">
        <v>475472</v>
      </c>
      <c r="W46" s="797">
        <v>417000.91</v>
      </c>
      <c r="X46" s="794">
        <v>436226</v>
      </c>
      <c r="Y46" s="795">
        <v>333041.05</v>
      </c>
      <c r="Z46" s="796">
        <v>56490</v>
      </c>
      <c r="AA46" s="795">
        <v>50626.21</v>
      </c>
      <c r="AB46" s="796">
        <v>64038</v>
      </c>
      <c r="AC46" s="797">
        <v>53182.8</v>
      </c>
      <c r="AD46" s="794">
        <v>110946</v>
      </c>
      <c r="AE46" s="795">
        <v>81018.39</v>
      </c>
      <c r="AF46" s="796">
        <v>266586</v>
      </c>
      <c r="AG46" s="795">
        <v>217043.25</v>
      </c>
      <c r="AH46" s="796">
        <v>122441</v>
      </c>
      <c r="AI46" s="797">
        <v>106099.4</v>
      </c>
      <c r="AJ46" s="794">
        <v>99796</v>
      </c>
      <c r="AK46" s="795">
        <v>102204.06</v>
      </c>
      <c r="AL46" s="796"/>
      <c r="AM46" s="795"/>
      <c r="AN46" s="796">
        <v>422394</v>
      </c>
      <c r="AO46" s="795">
        <v>460059.65</v>
      </c>
      <c r="AP46" s="796">
        <v>38068</v>
      </c>
      <c r="AQ46" s="795">
        <v>34806.78</v>
      </c>
      <c r="AR46" s="796">
        <v>51282</v>
      </c>
      <c r="AS46" s="795">
        <v>41893</v>
      </c>
      <c r="AT46" s="796">
        <v>171067</v>
      </c>
      <c r="AU46" s="795">
        <v>137558.1</v>
      </c>
      <c r="AV46" s="796"/>
      <c r="AW46" s="795"/>
      <c r="AX46" s="796">
        <v>14972604</v>
      </c>
      <c r="AY46" s="795">
        <v>14961625.380000001</v>
      </c>
      <c r="AZ46" s="796">
        <f t="shared" si="1"/>
        <v>14972604</v>
      </c>
      <c r="BA46" s="797">
        <f t="shared" si="1"/>
        <v>14961625.380000001</v>
      </c>
    </row>
    <row r="47" spans="1:53" s="59" customFormat="1" ht="13.5" x14ac:dyDescent="0.25">
      <c r="A47" s="711" t="s">
        <v>308</v>
      </c>
      <c r="B47" s="801">
        <f>SUM(B45:B46)</f>
        <v>182826</v>
      </c>
      <c r="C47" s="802">
        <f>SUM(C45:C46)</f>
        <v>179618</v>
      </c>
      <c r="D47" s="802">
        <f t="shared" ref="D47:AU47" si="5">SUM(D45:D46)</f>
        <v>15663</v>
      </c>
      <c r="E47" s="802">
        <f t="shared" si="5"/>
        <v>17425.12</v>
      </c>
      <c r="F47" s="802">
        <f t="shared" si="5"/>
        <v>42857</v>
      </c>
      <c r="G47" s="802">
        <f t="shared" si="5"/>
        <v>49130</v>
      </c>
      <c r="H47" s="802">
        <f t="shared" si="5"/>
        <v>224190</v>
      </c>
      <c r="I47" s="802">
        <v>224481.06</v>
      </c>
      <c r="J47" s="802">
        <f t="shared" si="5"/>
        <v>60229</v>
      </c>
      <c r="K47" s="802">
        <f t="shared" si="5"/>
        <v>51347.82</v>
      </c>
      <c r="L47" s="1029">
        <f t="shared" si="5"/>
        <v>69648</v>
      </c>
      <c r="M47" s="804">
        <f t="shared" si="5"/>
        <v>50509.29</v>
      </c>
      <c r="N47" s="1029">
        <f t="shared" si="5"/>
        <v>37812</v>
      </c>
      <c r="O47" s="804">
        <f t="shared" si="5"/>
        <v>38168.379999999997</v>
      </c>
      <c r="P47" s="1028">
        <f t="shared" si="5"/>
        <v>61852</v>
      </c>
      <c r="Q47" s="802">
        <f t="shared" si="5"/>
        <v>31244.379999999997</v>
      </c>
      <c r="R47" s="802">
        <f t="shared" si="5"/>
        <v>76400</v>
      </c>
      <c r="S47" s="802">
        <f t="shared" si="5"/>
        <v>72588.320000000007</v>
      </c>
      <c r="T47" s="802">
        <f t="shared" si="5"/>
        <v>28388</v>
      </c>
      <c r="U47" s="802">
        <f t="shared" si="5"/>
        <v>26008.19</v>
      </c>
      <c r="V47" s="802">
        <f t="shared" si="5"/>
        <v>536371</v>
      </c>
      <c r="W47" s="802">
        <f t="shared" si="5"/>
        <v>465040.52999999997</v>
      </c>
      <c r="X47" s="802">
        <v>461470</v>
      </c>
      <c r="Y47" s="802">
        <f t="shared" si="5"/>
        <v>385506.64999999997</v>
      </c>
      <c r="Z47" s="802">
        <f t="shared" si="5"/>
        <v>70925</v>
      </c>
      <c r="AA47" s="802">
        <f t="shared" si="5"/>
        <v>57162.93</v>
      </c>
      <c r="AB47" s="802">
        <f t="shared" si="5"/>
        <v>80790</v>
      </c>
      <c r="AC47" s="802">
        <f t="shared" si="5"/>
        <v>62747</v>
      </c>
      <c r="AD47" s="802">
        <f t="shared" si="5"/>
        <v>120960</v>
      </c>
      <c r="AE47" s="802">
        <f t="shared" si="5"/>
        <v>93419.78</v>
      </c>
      <c r="AF47" s="802">
        <v>308053</v>
      </c>
      <c r="AG47" s="802">
        <f t="shared" si="5"/>
        <v>261325.84</v>
      </c>
      <c r="AH47" s="1029">
        <f t="shared" si="5"/>
        <v>129868</v>
      </c>
      <c r="AI47" s="804">
        <f t="shared" si="5"/>
        <v>120090.4</v>
      </c>
      <c r="AJ47" s="1028">
        <f t="shared" si="5"/>
        <v>114784</v>
      </c>
      <c r="AK47" s="802">
        <f t="shared" si="5"/>
        <v>118455.53</v>
      </c>
      <c r="AL47" s="802">
        <f t="shared" si="5"/>
        <v>0</v>
      </c>
      <c r="AM47" s="802">
        <f t="shared" si="5"/>
        <v>0</v>
      </c>
      <c r="AN47" s="802">
        <f t="shared" si="5"/>
        <v>759487</v>
      </c>
      <c r="AO47" s="802">
        <f t="shared" si="5"/>
        <v>741385.03</v>
      </c>
      <c r="AP47" s="802">
        <f t="shared" si="5"/>
        <v>48026</v>
      </c>
      <c r="AQ47" s="802">
        <f t="shared" si="5"/>
        <v>46781.759999999995</v>
      </c>
      <c r="AR47" s="802">
        <f t="shared" si="5"/>
        <v>61561</v>
      </c>
      <c r="AS47" s="802">
        <f t="shared" si="5"/>
        <v>50353.229999999996</v>
      </c>
      <c r="AT47" s="802">
        <f t="shared" si="5"/>
        <v>186872</v>
      </c>
      <c r="AU47" s="802">
        <f t="shared" si="5"/>
        <v>153518.69</v>
      </c>
      <c r="AV47" s="805">
        <f t="shared" si="0"/>
        <v>3679032</v>
      </c>
      <c r="AW47" s="808">
        <f t="shared" si="0"/>
        <v>3296307.9299999997</v>
      </c>
      <c r="AX47" s="805">
        <v>16472003</v>
      </c>
      <c r="AY47" s="808">
        <v>16488716.619999999</v>
      </c>
      <c r="AZ47" s="805">
        <f t="shared" si="1"/>
        <v>20151035</v>
      </c>
      <c r="BA47" s="806">
        <f t="shared" si="1"/>
        <v>19785024.549999997</v>
      </c>
    </row>
    <row r="48" spans="1:53" x14ac:dyDescent="0.3">
      <c r="A48" s="302" t="s">
        <v>309</v>
      </c>
      <c r="B48" s="798">
        <v>156450</v>
      </c>
      <c r="C48" s="799">
        <v>134267</v>
      </c>
      <c r="D48" s="796">
        <v>12910</v>
      </c>
      <c r="E48" s="795">
        <v>16460.77</v>
      </c>
      <c r="F48" s="796">
        <v>36302</v>
      </c>
      <c r="G48" s="795">
        <v>50639</v>
      </c>
      <c r="H48" s="796">
        <v>194983</v>
      </c>
      <c r="I48" s="795">
        <v>134123.79</v>
      </c>
      <c r="J48" s="796">
        <v>32546</v>
      </c>
      <c r="K48" s="795">
        <v>37188</v>
      </c>
      <c r="L48" s="796">
        <v>53408</v>
      </c>
      <c r="M48" s="797">
        <v>38520</v>
      </c>
      <c r="N48" s="796">
        <v>15466</v>
      </c>
      <c r="O48" s="797">
        <v>15546.68</v>
      </c>
      <c r="P48" s="794">
        <v>30997</v>
      </c>
      <c r="Q48" s="797">
        <v>25963.119999999999</v>
      </c>
      <c r="R48" s="794">
        <v>59671</v>
      </c>
      <c r="S48" s="797">
        <v>52084.480000000003</v>
      </c>
      <c r="T48" s="794">
        <v>24031</v>
      </c>
      <c r="U48" s="797">
        <v>20836.330000000002</v>
      </c>
      <c r="V48" s="794">
        <v>595623</v>
      </c>
      <c r="W48" s="797">
        <v>575379.13</v>
      </c>
      <c r="X48" s="794">
        <v>478292</v>
      </c>
      <c r="Y48" s="795">
        <v>348521</v>
      </c>
      <c r="Z48" s="796">
        <v>22426</v>
      </c>
      <c r="AA48" s="795">
        <v>24332.13</v>
      </c>
      <c r="AB48" s="796">
        <v>70420</v>
      </c>
      <c r="AC48" s="797">
        <v>45539.78</v>
      </c>
      <c r="AD48" s="794">
        <v>175729</v>
      </c>
      <c r="AE48" s="795">
        <v>144570.09</v>
      </c>
      <c r="AF48" s="796">
        <v>300762</v>
      </c>
      <c r="AG48" s="795">
        <v>240084.36</v>
      </c>
      <c r="AH48" s="796">
        <v>109055</v>
      </c>
      <c r="AI48" s="797">
        <v>111982.97</v>
      </c>
      <c r="AJ48" s="794">
        <v>93902</v>
      </c>
      <c r="AK48" s="795">
        <v>89065.7</v>
      </c>
      <c r="AL48" s="796"/>
      <c r="AM48" s="795"/>
      <c r="AN48" s="796">
        <v>515882</v>
      </c>
      <c r="AO48" s="795">
        <v>388834.15</v>
      </c>
      <c r="AP48" s="796">
        <v>28478</v>
      </c>
      <c r="AQ48" s="795">
        <v>25596.91</v>
      </c>
      <c r="AR48" s="796">
        <v>30072</v>
      </c>
      <c r="AS48" s="795">
        <v>33147</v>
      </c>
      <c r="AT48" s="796">
        <v>225409</v>
      </c>
      <c r="AU48" s="795">
        <v>142050</v>
      </c>
      <c r="AV48" s="796"/>
      <c r="AW48" s="795"/>
      <c r="AX48" s="796">
        <v>5285429</v>
      </c>
      <c r="AY48" s="795">
        <v>6828171.4800000004</v>
      </c>
      <c r="AZ48" s="796">
        <f t="shared" si="1"/>
        <v>5285429</v>
      </c>
      <c r="BA48" s="797">
        <f t="shared" si="1"/>
        <v>6828171.4800000004</v>
      </c>
    </row>
    <row r="49" spans="1:53" x14ac:dyDescent="0.3">
      <c r="A49" s="302" t="s">
        <v>310</v>
      </c>
      <c r="B49" s="798">
        <v>12665</v>
      </c>
      <c r="C49" s="799">
        <v>10874.47</v>
      </c>
      <c r="D49" s="796">
        <v>196</v>
      </c>
      <c r="E49" s="795">
        <v>226.98</v>
      </c>
      <c r="F49" s="796">
        <v>1240</v>
      </c>
      <c r="G49" s="795">
        <v>1670</v>
      </c>
      <c r="H49" s="796">
        <v>22297</v>
      </c>
      <c r="I49" s="795">
        <v>43998.99</v>
      </c>
      <c r="J49" s="796">
        <v>6446</v>
      </c>
      <c r="K49" s="795">
        <v>4893</v>
      </c>
      <c r="L49" s="796">
        <v>1697</v>
      </c>
      <c r="M49" s="797">
        <v>1868</v>
      </c>
      <c r="N49" s="796">
        <v>13632</v>
      </c>
      <c r="O49" s="797">
        <v>18140.86</v>
      </c>
      <c r="P49" s="794">
        <v>604</v>
      </c>
      <c r="Q49" s="797">
        <v>229.36</v>
      </c>
      <c r="R49" s="794">
        <v>4785</v>
      </c>
      <c r="S49" s="797">
        <v>5603.25</v>
      </c>
      <c r="T49" s="794">
        <v>505</v>
      </c>
      <c r="U49" s="797">
        <v>537</v>
      </c>
      <c r="V49" s="794">
        <v>7909</v>
      </c>
      <c r="W49" s="797">
        <v>6784.87</v>
      </c>
      <c r="X49" s="794">
        <v>2572</v>
      </c>
      <c r="Y49" s="795">
        <v>2386.9299999999998</v>
      </c>
      <c r="Z49" s="796">
        <v>688</v>
      </c>
      <c r="AA49" s="795">
        <v>1058.49</v>
      </c>
      <c r="AB49" s="796">
        <v>216</v>
      </c>
      <c r="AC49" s="797">
        <v>179.31</v>
      </c>
      <c r="AD49" s="794">
        <v>36390</v>
      </c>
      <c r="AE49" s="795">
        <v>28602.799999999999</v>
      </c>
      <c r="AF49" s="796">
        <v>4979</v>
      </c>
      <c r="AG49" s="795">
        <v>10834.27</v>
      </c>
      <c r="AH49" s="796">
        <v>8423</v>
      </c>
      <c r="AI49" s="797">
        <v>3485.21</v>
      </c>
      <c r="AJ49" s="794">
        <v>6529</v>
      </c>
      <c r="AK49" s="795">
        <v>6824.01</v>
      </c>
      <c r="AL49" s="796"/>
      <c r="AM49" s="795"/>
      <c r="AN49" s="796">
        <v>38147</v>
      </c>
      <c r="AO49" s="795">
        <v>26448.880000000001</v>
      </c>
      <c r="AP49" s="796">
        <v>1328</v>
      </c>
      <c r="AQ49" s="795">
        <v>2679.82</v>
      </c>
      <c r="AR49" s="796">
        <v>516</v>
      </c>
      <c r="AS49" s="795">
        <v>218.41</v>
      </c>
      <c r="AT49" s="796">
        <v>7173</v>
      </c>
      <c r="AU49" s="795">
        <v>5590.79</v>
      </c>
      <c r="AV49" s="796"/>
      <c r="AW49" s="795"/>
      <c r="AX49" s="796">
        <v>1494305</v>
      </c>
      <c r="AY49" s="795">
        <v>1764079.89</v>
      </c>
      <c r="AZ49" s="796">
        <f t="shared" si="1"/>
        <v>1494305</v>
      </c>
      <c r="BA49" s="797">
        <f t="shared" si="1"/>
        <v>1764079.89</v>
      </c>
    </row>
    <row r="50" spans="1:53" s="59" customFormat="1" ht="13.5" x14ac:dyDescent="0.25">
      <c r="A50" s="711" t="s">
        <v>311</v>
      </c>
      <c r="B50" s="801">
        <f>SUM(B48:B49)</f>
        <v>169115</v>
      </c>
      <c r="C50" s="802">
        <f>SUM(C48:C49)</f>
        <v>145141.47</v>
      </c>
      <c r="D50" s="805">
        <v>13106</v>
      </c>
      <c r="E50" s="808">
        <f t="shared" ref="E50:AM50" si="6">SUM(E48:E49)</f>
        <v>16687.75</v>
      </c>
      <c r="F50" s="805">
        <f t="shared" si="6"/>
        <v>37542</v>
      </c>
      <c r="G50" s="808">
        <f t="shared" si="6"/>
        <v>52309</v>
      </c>
      <c r="H50" s="805">
        <f t="shared" si="6"/>
        <v>217280</v>
      </c>
      <c r="I50" s="808">
        <v>178122.78</v>
      </c>
      <c r="J50" s="805">
        <f t="shared" si="6"/>
        <v>38992</v>
      </c>
      <c r="K50" s="808">
        <f t="shared" si="6"/>
        <v>42081</v>
      </c>
      <c r="L50" s="805">
        <f t="shared" si="6"/>
        <v>55105</v>
      </c>
      <c r="M50" s="806">
        <f t="shared" si="6"/>
        <v>40388</v>
      </c>
      <c r="N50" s="805">
        <f t="shared" si="6"/>
        <v>29098</v>
      </c>
      <c r="O50" s="806">
        <f t="shared" si="6"/>
        <v>33687.54</v>
      </c>
      <c r="P50" s="807">
        <f t="shared" si="6"/>
        <v>31601</v>
      </c>
      <c r="Q50" s="806">
        <f t="shared" si="6"/>
        <v>26192.48</v>
      </c>
      <c r="R50" s="807">
        <f t="shared" si="6"/>
        <v>64456</v>
      </c>
      <c r="S50" s="806">
        <f t="shared" si="6"/>
        <v>57687.73</v>
      </c>
      <c r="T50" s="807">
        <f t="shared" si="6"/>
        <v>24536</v>
      </c>
      <c r="U50" s="806">
        <f t="shared" si="6"/>
        <v>21373.33</v>
      </c>
      <c r="V50" s="807">
        <f t="shared" si="6"/>
        <v>603532</v>
      </c>
      <c r="W50" s="806">
        <f t="shared" si="6"/>
        <v>582164</v>
      </c>
      <c r="X50" s="807">
        <f t="shared" si="6"/>
        <v>480864</v>
      </c>
      <c r="Y50" s="808">
        <f t="shared" si="6"/>
        <v>350907.93</v>
      </c>
      <c r="Z50" s="808">
        <f t="shared" si="6"/>
        <v>23114</v>
      </c>
      <c r="AA50" s="808">
        <f t="shared" si="6"/>
        <v>25390.620000000003</v>
      </c>
      <c r="AB50" s="808">
        <f t="shared" si="6"/>
        <v>70636</v>
      </c>
      <c r="AC50" s="808">
        <f t="shared" si="6"/>
        <v>45719.09</v>
      </c>
      <c r="AD50" s="808">
        <f t="shared" si="6"/>
        <v>212119</v>
      </c>
      <c r="AE50" s="808">
        <f t="shared" si="6"/>
        <v>173172.88999999998</v>
      </c>
      <c r="AF50" s="808">
        <f t="shared" si="6"/>
        <v>305741</v>
      </c>
      <c r="AG50" s="808">
        <f t="shared" si="6"/>
        <v>250918.62999999998</v>
      </c>
      <c r="AH50" s="1043">
        <f t="shared" si="6"/>
        <v>117478</v>
      </c>
      <c r="AI50" s="806">
        <f t="shared" si="6"/>
        <v>115468.18000000001</v>
      </c>
      <c r="AJ50" s="1042">
        <f t="shared" si="6"/>
        <v>100431</v>
      </c>
      <c r="AK50" s="808">
        <f t="shared" si="6"/>
        <v>95889.709999999992</v>
      </c>
      <c r="AL50" s="808">
        <f t="shared" si="6"/>
        <v>0</v>
      </c>
      <c r="AM50" s="808">
        <f t="shared" si="6"/>
        <v>0</v>
      </c>
      <c r="AN50" s="805">
        <f>SUM(AN48:AN49)</f>
        <v>554029</v>
      </c>
      <c r="AO50" s="805">
        <f>SUM(AO48:AO49)</f>
        <v>415283.03</v>
      </c>
      <c r="AP50" s="805">
        <f t="shared" ref="AP50:AU50" si="7">SUM(AP48:AP49)</f>
        <v>29806</v>
      </c>
      <c r="AQ50" s="805">
        <f t="shared" si="7"/>
        <v>28276.73</v>
      </c>
      <c r="AR50" s="805">
        <f t="shared" si="7"/>
        <v>30588</v>
      </c>
      <c r="AS50" s="808">
        <f t="shared" si="7"/>
        <v>33365.410000000003</v>
      </c>
      <c r="AT50" s="805">
        <f t="shared" si="7"/>
        <v>232582</v>
      </c>
      <c r="AU50" s="808">
        <f t="shared" si="7"/>
        <v>147640.79</v>
      </c>
      <c r="AV50" s="805">
        <f t="shared" si="0"/>
        <v>3441751</v>
      </c>
      <c r="AW50" s="808">
        <f t="shared" si="0"/>
        <v>2877868.0900000003</v>
      </c>
      <c r="AX50" s="805">
        <f>SUM(AX48:AX49)</f>
        <v>6779734</v>
      </c>
      <c r="AY50" s="808">
        <f>SUM(AY48:AY49)</f>
        <v>8592251.370000001</v>
      </c>
      <c r="AZ50" s="805">
        <f t="shared" si="1"/>
        <v>10221485</v>
      </c>
      <c r="BA50" s="806">
        <f t="shared" si="1"/>
        <v>11470119.460000001</v>
      </c>
    </row>
    <row r="51" spans="1:53" s="59" customFormat="1" ht="13.5" x14ac:dyDescent="0.25">
      <c r="A51" s="711" t="s">
        <v>312</v>
      </c>
      <c r="B51" s="801">
        <f t="shared" ref="B51:AK51" si="8">B47-B50</f>
        <v>13711</v>
      </c>
      <c r="C51" s="802">
        <f t="shared" si="8"/>
        <v>34476.53</v>
      </c>
      <c r="D51" s="805">
        <f t="shared" si="8"/>
        <v>2557</v>
      </c>
      <c r="E51" s="808">
        <f t="shared" si="8"/>
        <v>737.36999999999898</v>
      </c>
      <c r="F51" s="805">
        <f t="shared" si="8"/>
        <v>5315</v>
      </c>
      <c r="G51" s="808">
        <f t="shared" si="8"/>
        <v>-3179</v>
      </c>
      <c r="H51" s="805">
        <f t="shared" si="8"/>
        <v>6910</v>
      </c>
      <c r="I51" s="808">
        <v>46358.28</v>
      </c>
      <c r="J51" s="805">
        <f t="shared" si="8"/>
        <v>21237</v>
      </c>
      <c r="K51" s="808">
        <f t="shared" si="8"/>
        <v>9266.82</v>
      </c>
      <c r="L51" s="805">
        <f t="shared" si="8"/>
        <v>14543</v>
      </c>
      <c r="M51" s="806">
        <f t="shared" si="8"/>
        <v>10121.290000000001</v>
      </c>
      <c r="N51" s="805">
        <f t="shared" si="8"/>
        <v>8714</v>
      </c>
      <c r="O51" s="806">
        <f t="shared" si="8"/>
        <v>4480.8399999999965</v>
      </c>
      <c r="P51" s="807">
        <f t="shared" si="8"/>
        <v>30251</v>
      </c>
      <c r="Q51" s="806">
        <f t="shared" si="8"/>
        <v>5051.8999999999978</v>
      </c>
      <c r="R51" s="807">
        <f t="shared" si="8"/>
        <v>11944</v>
      </c>
      <c r="S51" s="806">
        <f t="shared" si="8"/>
        <v>14900.590000000004</v>
      </c>
      <c r="T51" s="807">
        <f t="shared" si="8"/>
        <v>3852</v>
      </c>
      <c r="U51" s="806">
        <f t="shared" si="8"/>
        <v>4634.8599999999969</v>
      </c>
      <c r="V51" s="807">
        <f t="shared" si="8"/>
        <v>-67161</v>
      </c>
      <c r="W51" s="806">
        <f t="shared" si="8"/>
        <v>-117123.47000000003</v>
      </c>
      <c r="X51" s="807">
        <f t="shared" si="8"/>
        <v>-19394</v>
      </c>
      <c r="Y51" s="808">
        <f t="shared" si="8"/>
        <v>34598.719999999972</v>
      </c>
      <c r="Z51" s="808">
        <f t="shared" si="8"/>
        <v>47811</v>
      </c>
      <c r="AA51" s="808">
        <f t="shared" si="8"/>
        <v>31772.309999999998</v>
      </c>
      <c r="AB51" s="808">
        <f t="shared" si="8"/>
        <v>10154</v>
      </c>
      <c r="AC51" s="808">
        <f t="shared" si="8"/>
        <v>17027.910000000003</v>
      </c>
      <c r="AD51" s="808">
        <f t="shared" si="8"/>
        <v>-91159</v>
      </c>
      <c r="AE51" s="808">
        <f t="shared" si="8"/>
        <v>-79753.109999999986</v>
      </c>
      <c r="AF51" s="808">
        <f t="shared" si="8"/>
        <v>2312</v>
      </c>
      <c r="AG51" s="808">
        <f t="shared" si="8"/>
        <v>10407.210000000021</v>
      </c>
      <c r="AH51" s="1043">
        <f t="shared" si="8"/>
        <v>12390</v>
      </c>
      <c r="AI51" s="806">
        <f t="shared" si="8"/>
        <v>4622.2199999999866</v>
      </c>
      <c r="AJ51" s="1042">
        <f t="shared" si="8"/>
        <v>14353</v>
      </c>
      <c r="AK51" s="808">
        <f t="shared" si="8"/>
        <v>22565.820000000007</v>
      </c>
      <c r="AL51" s="805">
        <f>AL47-AL50</f>
        <v>0</v>
      </c>
      <c r="AM51" s="808">
        <f>AM47-AM50</f>
        <v>0</v>
      </c>
      <c r="AN51" s="805">
        <f>AN47-AN50</f>
        <v>205458</v>
      </c>
      <c r="AO51" s="808">
        <f>AO47-AO50</f>
        <v>326102</v>
      </c>
      <c r="AP51" s="805">
        <f t="shared" ref="AP51:AU51" si="9">AP47-AP50</f>
        <v>18220</v>
      </c>
      <c r="AQ51" s="808">
        <f t="shared" si="9"/>
        <v>18505.029999999995</v>
      </c>
      <c r="AR51" s="805">
        <f t="shared" si="9"/>
        <v>30973</v>
      </c>
      <c r="AS51" s="808">
        <f t="shared" si="9"/>
        <v>16987.819999999992</v>
      </c>
      <c r="AT51" s="805">
        <f t="shared" si="9"/>
        <v>-45710</v>
      </c>
      <c r="AU51" s="808">
        <f t="shared" si="9"/>
        <v>5877.8999999999942</v>
      </c>
      <c r="AV51" s="805">
        <f t="shared" si="0"/>
        <v>237281</v>
      </c>
      <c r="AW51" s="808">
        <f t="shared" si="0"/>
        <v>418439.83999999997</v>
      </c>
      <c r="AX51" s="805">
        <f>AX47-AX50</f>
        <v>9692269</v>
      </c>
      <c r="AY51" s="808">
        <f>AY47-AY50</f>
        <v>7896465.2499999981</v>
      </c>
      <c r="AZ51" s="805">
        <f t="shared" si="1"/>
        <v>9929550</v>
      </c>
      <c r="BA51" s="806">
        <f t="shared" si="1"/>
        <v>8314905.089999998</v>
      </c>
    </row>
    <row r="52" spans="1:53" x14ac:dyDescent="0.3">
      <c r="A52" s="302" t="s">
        <v>313</v>
      </c>
      <c r="B52" s="798"/>
      <c r="C52" s="799"/>
      <c r="D52" s="796"/>
      <c r="E52" s="795"/>
      <c r="F52" s="796"/>
      <c r="G52" s="795"/>
      <c r="H52" s="796"/>
      <c r="I52" s="795"/>
      <c r="J52" s="796"/>
      <c r="K52" s="795"/>
      <c r="L52" s="796"/>
      <c r="M52" s="797"/>
      <c r="N52" s="796"/>
      <c r="O52" s="797"/>
      <c r="P52" s="794"/>
      <c r="Q52" s="797"/>
      <c r="R52" s="794"/>
      <c r="S52" s="797"/>
      <c r="T52" s="794"/>
      <c r="U52" s="797"/>
      <c r="V52" s="794"/>
      <c r="W52" s="797"/>
      <c r="X52" s="794"/>
      <c r="Y52" s="795"/>
      <c r="Z52" s="796"/>
      <c r="AA52" s="795"/>
      <c r="AB52" s="796"/>
      <c r="AC52" s="797"/>
      <c r="AD52" s="794"/>
      <c r="AE52" s="795"/>
      <c r="AF52" s="796"/>
      <c r="AG52" s="795"/>
      <c r="AH52" s="796"/>
      <c r="AI52" s="797"/>
      <c r="AJ52" s="794"/>
      <c r="AK52" s="795"/>
      <c r="AL52" s="796"/>
      <c r="AM52" s="795"/>
      <c r="AN52" s="796"/>
      <c r="AO52" s="795"/>
      <c r="AP52" s="796"/>
      <c r="AQ52" s="795"/>
      <c r="AR52" s="796"/>
      <c r="AS52" s="795"/>
      <c r="AT52" s="796"/>
      <c r="AU52" s="795"/>
      <c r="AV52" s="796">
        <f t="shared" si="0"/>
        <v>0</v>
      </c>
      <c r="AW52" s="795">
        <f t="shared" si="0"/>
        <v>0</v>
      </c>
      <c r="AX52" s="796"/>
      <c r="AY52" s="795"/>
      <c r="AZ52" s="796">
        <f t="shared" si="1"/>
        <v>0</v>
      </c>
      <c r="BA52" s="797">
        <f t="shared" si="1"/>
        <v>0</v>
      </c>
    </row>
    <row r="53" spans="1:53" x14ac:dyDescent="0.3">
      <c r="A53" s="302" t="s">
        <v>314</v>
      </c>
      <c r="B53" s="798"/>
      <c r="C53" s="799"/>
      <c r="D53" s="796"/>
      <c r="E53" s="795"/>
      <c r="F53" s="796"/>
      <c r="G53" s="795"/>
      <c r="H53" s="796"/>
      <c r="I53" s="795"/>
      <c r="J53" s="796"/>
      <c r="K53" s="795"/>
      <c r="L53" s="796"/>
      <c r="M53" s="797"/>
      <c r="N53" s="796"/>
      <c r="O53" s="797"/>
      <c r="P53" s="794"/>
      <c r="Q53" s="797"/>
      <c r="R53" s="794"/>
      <c r="S53" s="797"/>
      <c r="T53" s="794"/>
      <c r="U53" s="797"/>
      <c r="V53" s="794"/>
      <c r="W53" s="797"/>
      <c r="X53" s="794"/>
      <c r="Y53" s="795"/>
      <c r="Z53" s="796"/>
      <c r="AA53" s="795"/>
      <c r="AB53" s="796"/>
      <c r="AC53" s="797"/>
      <c r="AD53" s="794"/>
      <c r="AE53" s="795"/>
      <c r="AF53" s="796"/>
      <c r="AG53" s="795"/>
      <c r="AH53" s="796"/>
      <c r="AI53" s="797"/>
      <c r="AJ53" s="794"/>
      <c r="AK53" s="795"/>
      <c r="AL53" s="796"/>
      <c r="AM53" s="795"/>
      <c r="AN53" s="796"/>
      <c r="AO53" s="795"/>
      <c r="AP53" s="796"/>
      <c r="AQ53" s="795"/>
      <c r="AR53" s="796"/>
      <c r="AS53" s="795"/>
      <c r="AT53" s="796"/>
      <c r="AU53" s="795"/>
      <c r="AV53" s="796">
        <f t="shared" si="0"/>
        <v>0</v>
      </c>
      <c r="AW53" s="795">
        <f t="shared" si="0"/>
        <v>0</v>
      </c>
      <c r="AX53" s="796"/>
      <c r="AY53" s="795"/>
      <c r="AZ53" s="796">
        <f t="shared" si="1"/>
        <v>0</v>
      </c>
      <c r="BA53" s="797">
        <f t="shared" si="1"/>
        <v>0</v>
      </c>
    </row>
    <row r="54" spans="1:53" x14ac:dyDescent="0.3">
      <c r="A54" s="302" t="s">
        <v>315</v>
      </c>
      <c r="B54" s="798"/>
      <c r="C54" s="799"/>
      <c r="D54" s="796">
        <v>79477</v>
      </c>
      <c r="E54" s="795">
        <v>70531.87</v>
      </c>
      <c r="F54" s="796">
        <v>138729</v>
      </c>
      <c r="G54" s="795">
        <v>134913</v>
      </c>
      <c r="H54" s="796"/>
      <c r="I54" s="795"/>
      <c r="J54" s="796">
        <v>309644</v>
      </c>
      <c r="K54" s="795">
        <v>283033.43</v>
      </c>
      <c r="L54" s="796"/>
      <c r="M54" s="797"/>
      <c r="N54" s="796">
        <v>24003</v>
      </c>
      <c r="O54" s="797">
        <v>21023</v>
      </c>
      <c r="P54" s="794">
        <v>179202</v>
      </c>
      <c r="Q54" s="797">
        <v>158022.29</v>
      </c>
      <c r="R54" s="794">
        <v>77666</v>
      </c>
      <c r="S54" s="797">
        <v>72791.02</v>
      </c>
      <c r="T54" s="794">
        <v>205979</v>
      </c>
      <c r="U54" s="797">
        <v>186332.79</v>
      </c>
      <c r="V54" s="794"/>
      <c r="W54" s="797"/>
      <c r="X54" s="794"/>
      <c r="Y54" s="795"/>
      <c r="Z54" s="796"/>
      <c r="AA54" s="795"/>
      <c r="AB54" s="796">
        <v>42663</v>
      </c>
      <c r="AC54" s="797">
        <v>24419.1</v>
      </c>
      <c r="AD54" s="794"/>
      <c r="AE54" s="795"/>
      <c r="AF54" s="796"/>
      <c r="AG54" s="795"/>
      <c r="AH54" s="796">
        <v>67626</v>
      </c>
      <c r="AI54" s="797">
        <v>65648.36</v>
      </c>
      <c r="AJ54" s="794">
        <v>17103</v>
      </c>
      <c r="AK54" s="795">
        <v>19203.46</v>
      </c>
      <c r="AL54" s="796"/>
      <c r="AM54" s="795"/>
      <c r="AN54" s="796"/>
      <c r="AO54" s="795"/>
      <c r="AP54" s="796"/>
      <c r="AQ54" s="795"/>
      <c r="AR54" s="796"/>
      <c r="AS54" s="795"/>
      <c r="AT54" s="796">
        <v>1268</v>
      </c>
      <c r="AU54" s="795"/>
      <c r="AV54" s="796">
        <f t="shared" si="0"/>
        <v>1143360</v>
      </c>
      <c r="AW54" s="795">
        <f t="shared" si="0"/>
        <v>1035918.32</v>
      </c>
      <c r="AX54" s="796"/>
      <c r="AY54" s="795"/>
      <c r="AZ54" s="796">
        <f t="shared" si="1"/>
        <v>1143360</v>
      </c>
      <c r="BA54" s="797">
        <f t="shared" si="1"/>
        <v>1035918.32</v>
      </c>
    </row>
    <row r="55" spans="1:53" x14ac:dyDescent="0.3">
      <c r="A55" s="302" t="s">
        <v>316</v>
      </c>
      <c r="B55" s="798"/>
      <c r="C55" s="799"/>
      <c r="D55" s="796">
        <v>152062</v>
      </c>
      <c r="E55" s="795">
        <v>138156.06</v>
      </c>
      <c r="F55" s="796"/>
      <c r="G55" s="795"/>
      <c r="H55" s="796"/>
      <c r="I55" s="795"/>
      <c r="J55" s="796"/>
      <c r="K55" s="795"/>
      <c r="L55" s="796"/>
      <c r="M55" s="797"/>
      <c r="N55" s="796"/>
      <c r="O55" s="797"/>
      <c r="P55" s="794"/>
      <c r="Q55" s="797"/>
      <c r="R55" s="794"/>
      <c r="S55" s="797"/>
      <c r="T55" s="794"/>
      <c r="U55" s="797"/>
      <c r="V55" s="794"/>
      <c r="W55" s="797"/>
      <c r="X55" s="794"/>
      <c r="Y55" s="795"/>
      <c r="Z55" s="796">
        <v>4273</v>
      </c>
      <c r="AA55" s="795">
        <v>1330</v>
      </c>
      <c r="AB55" s="796">
        <v>405</v>
      </c>
      <c r="AC55" s="797">
        <v>796.38</v>
      </c>
      <c r="AD55" s="794"/>
      <c r="AE55" s="795"/>
      <c r="AF55" s="796"/>
      <c r="AG55" s="795">
        <v>29194</v>
      </c>
      <c r="AH55" s="796"/>
      <c r="AI55" s="797"/>
      <c r="AJ55" s="794"/>
      <c r="AK55" s="795"/>
      <c r="AL55" s="796"/>
      <c r="AM55" s="795"/>
      <c r="AN55" s="796"/>
      <c r="AO55" s="795"/>
      <c r="AP55" s="796"/>
      <c r="AQ55" s="795"/>
      <c r="AR55" s="796"/>
      <c r="AS55" s="795"/>
      <c r="AT55" s="796"/>
      <c r="AU55" s="795"/>
      <c r="AV55" s="796">
        <f t="shared" si="0"/>
        <v>156740</v>
      </c>
      <c r="AW55" s="795">
        <f t="shared" si="0"/>
        <v>169476.44</v>
      </c>
      <c r="AX55" s="796"/>
      <c r="AY55" s="795"/>
      <c r="AZ55" s="796">
        <f t="shared" si="1"/>
        <v>156740</v>
      </c>
      <c r="BA55" s="797">
        <f t="shared" si="1"/>
        <v>169476.44</v>
      </c>
    </row>
    <row r="56" spans="1:53" s="59" customFormat="1" ht="13.5" x14ac:dyDescent="0.25">
      <c r="A56" s="711" t="s">
        <v>296</v>
      </c>
      <c r="B56" s="801">
        <v>5961904</v>
      </c>
      <c r="C56" s="802">
        <v>5131296.9400000004</v>
      </c>
      <c r="D56" s="805">
        <v>587730</v>
      </c>
      <c r="E56" s="808">
        <v>529285.26</v>
      </c>
      <c r="F56" s="805">
        <v>1289777</v>
      </c>
      <c r="G56" s="808">
        <v>1180611</v>
      </c>
      <c r="H56" s="805">
        <v>8390692</v>
      </c>
      <c r="I56" s="808">
        <v>7122844.8899999997</v>
      </c>
      <c r="J56" s="805">
        <v>1389472</v>
      </c>
      <c r="K56" s="808">
        <v>1168203.98</v>
      </c>
      <c r="L56" s="805">
        <v>2543527</v>
      </c>
      <c r="M56" s="806">
        <v>2073495.23</v>
      </c>
      <c r="N56" s="805">
        <v>647787</v>
      </c>
      <c r="O56" s="806">
        <v>579153</v>
      </c>
      <c r="P56" s="807">
        <v>729798</v>
      </c>
      <c r="Q56" s="806">
        <v>566514.9</v>
      </c>
      <c r="R56" s="807">
        <v>2077451</v>
      </c>
      <c r="S56" s="806">
        <v>1850487.92</v>
      </c>
      <c r="T56" s="807">
        <v>780740</v>
      </c>
      <c r="U56" s="806">
        <v>675624.36</v>
      </c>
      <c r="V56" s="807">
        <v>19500380</v>
      </c>
      <c r="W56" s="806">
        <v>16515838.1</v>
      </c>
      <c r="X56" s="807">
        <v>23672454</v>
      </c>
      <c r="Y56" s="808">
        <v>20433479.789999999</v>
      </c>
      <c r="Z56" s="805">
        <v>1370278</v>
      </c>
      <c r="AA56" s="808">
        <v>1171316.58</v>
      </c>
      <c r="AB56" s="805">
        <v>1828512</v>
      </c>
      <c r="AC56" s="806">
        <v>1645612.48</v>
      </c>
      <c r="AD56" s="807">
        <v>5214313</v>
      </c>
      <c r="AE56" s="808">
        <v>4252416.2699999996</v>
      </c>
      <c r="AF56" s="805">
        <v>10336871</v>
      </c>
      <c r="AG56" s="808">
        <v>8554491.6899999995</v>
      </c>
      <c r="AH56" s="805">
        <v>3321769</v>
      </c>
      <c r="AI56" s="806">
        <v>2765234.63</v>
      </c>
      <c r="AJ56" s="807">
        <v>2726311</v>
      </c>
      <c r="AK56" s="808">
        <v>2404542.11</v>
      </c>
      <c r="AL56" s="805"/>
      <c r="AM56" s="808"/>
      <c r="AN56" s="805">
        <v>25728783</v>
      </c>
      <c r="AO56" s="808">
        <v>21124218.68</v>
      </c>
      <c r="AP56" s="805">
        <v>740411</v>
      </c>
      <c r="AQ56" s="808">
        <v>619519.34</v>
      </c>
      <c r="AR56" s="805">
        <v>1431356</v>
      </c>
      <c r="AS56" s="808">
        <v>113581199</v>
      </c>
      <c r="AT56" s="805">
        <v>5557033</v>
      </c>
      <c r="AU56" s="808">
        <v>4357023.4400000004</v>
      </c>
      <c r="AV56" s="805">
        <f t="shared" si="0"/>
        <v>125827349</v>
      </c>
      <c r="AW56" s="808">
        <f t="shared" si="0"/>
        <v>218302409.58999997</v>
      </c>
      <c r="AX56" s="805">
        <v>407002179</v>
      </c>
      <c r="AY56" s="808">
        <v>359941399.33999997</v>
      </c>
      <c r="AZ56" s="805">
        <f t="shared" si="1"/>
        <v>532829528</v>
      </c>
      <c r="BA56" s="806">
        <f t="shared" si="1"/>
        <v>578243808.92999995</v>
      </c>
    </row>
    <row r="57" spans="1:53" x14ac:dyDescent="0.3">
      <c r="A57" s="711" t="s">
        <v>317</v>
      </c>
      <c r="B57" s="794"/>
      <c r="C57" s="795"/>
      <c r="D57" s="796"/>
      <c r="E57" s="795"/>
      <c r="F57" s="796"/>
      <c r="G57" s="795"/>
      <c r="H57" s="796"/>
      <c r="I57" s="795"/>
      <c r="J57" s="796"/>
      <c r="K57" s="795"/>
      <c r="L57" s="796"/>
      <c r="M57" s="797"/>
      <c r="N57" s="796"/>
      <c r="O57" s="797"/>
      <c r="P57" s="794"/>
      <c r="Q57" s="797"/>
      <c r="R57" s="794"/>
      <c r="S57" s="797"/>
      <c r="T57" s="794"/>
      <c r="U57" s="797"/>
      <c r="V57" s="794"/>
      <c r="W57" s="797"/>
      <c r="X57" s="794"/>
      <c r="Y57" s="795"/>
      <c r="Z57" s="796"/>
      <c r="AA57" s="795"/>
      <c r="AB57" s="796"/>
      <c r="AC57" s="797"/>
      <c r="AD57" s="794"/>
      <c r="AE57" s="795"/>
      <c r="AF57" s="796"/>
      <c r="AG57" s="795"/>
      <c r="AH57" s="796"/>
      <c r="AI57" s="797"/>
      <c r="AJ57" s="794"/>
      <c r="AK57" s="795"/>
      <c r="AL57" s="796"/>
      <c r="AM57" s="795"/>
      <c r="AN57" s="796"/>
      <c r="AO57" s="795"/>
      <c r="AP57" s="796"/>
      <c r="AQ57" s="795"/>
      <c r="AR57" s="796"/>
      <c r="AS57" s="795"/>
      <c r="AT57" s="796"/>
      <c r="AU57" s="795"/>
      <c r="AV57" s="796">
        <f t="shared" si="0"/>
        <v>0</v>
      </c>
      <c r="AW57" s="795">
        <f t="shared" si="0"/>
        <v>0</v>
      </c>
      <c r="AX57" s="796"/>
      <c r="AY57" s="795"/>
      <c r="AZ57" s="796">
        <f t="shared" si="1"/>
        <v>0</v>
      </c>
      <c r="BA57" s="797">
        <f t="shared" si="1"/>
        <v>0</v>
      </c>
    </row>
    <row r="58" spans="1:53" x14ac:dyDescent="0.3">
      <c r="A58" s="711" t="s">
        <v>0</v>
      </c>
      <c r="B58" s="794"/>
      <c r="C58" s="795"/>
      <c r="D58" s="796"/>
      <c r="E58" s="795"/>
      <c r="F58" s="796"/>
      <c r="G58" s="795"/>
      <c r="H58" s="796"/>
      <c r="I58" s="795"/>
      <c r="J58" s="796"/>
      <c r="K58" s="795"/>
      <c r="L58" s="796"/>
      <c r="M58" s="797"/>
      <c r="N58" s="796"/>
      <c r="O58" s="797"/>
      <c r="P58" s="794"/>
      <c r="Q58" s="797"/>
      <c r="R58" s="794"/>
      <c r="S58" s="797"/>
      <c r="T58" s="794"/>
      <c r="U58" s="797"/>
      <c r="V58" s="794"/>
      <c r="W58" s="797"/>
      <c r="X58" s="794"/>
      <c r="Y58" s="795"/>
      <c r="Z58" s="796"/>
      <c r="AA58" s="795"/>
      <c r="AB58" s="796"/>
      <c r="AC58" s="797"/>
      <c r="AD58" s="794"/>
      <c r="AE58" s="795"/>
      <c r="AF58" s="796"/>
      <c r="AG58" s="795"/>
      <c r="AH58" s="796"/>
      <c r="AI58" s="797"/>
      <c r="AJ58" s="794"/>
      <c r="AK58" s="795"/>
      <c r="AL58" s="796"/>
      <c r="AM58" s="795"/>
      <c r="AN58" s="796"/>
      <c r="AO58" s="795"/>
      <c r="AP58" s="796"/>
      <c r="AQ58" s="795"/>
      <c r="AR58" s="796"/>
      <c r="AS58" s="795"/>
      <c r="AT58" s="796"/>
      <c r="AU58" s="795"/>
      <c r="AV58" s="796">
        <f t="shared" si="0"/>
        <v>0</v>
      </c>
      <c r="AW58" s="795">
        <f t="shared" si="0"/>
        <v>0</v>
      </c>
      <c r="AX58" s="796"/>
      <c r="AY58" s="795"/>
      <c r="AZ58" s="796">
        <f t="shared" si="1"/>
        <v>0</v>
      </c>
      <c r="BA58" s="797">
        <f t="shared" si="1"/>
        <v>0</v>
      </c>
    </row>
    <row r="59" spans="1:53" x14ac:dyDescent="0.3">
      <c r="A59" s="302" t="s">
        <v>318</v>
      </c>
      <c r="B59" s="794">
        <v>24149</v>
      </c>
      <c r="C59" s="795">
        <v>44761</v>
      </c>
      <c r="D59" s="796"/>
      <c r="E59" s="795"/>
      <c r="F59" s="796">
        <v>958</v>
      </c>
      <c r="G59" s="795">
        <v>2006</v>
      </c>
      <c r="H59" s="796"/>
      <c r="I59" s="795"/>
      <c r="J59" s="796">
        <v>47705</v>
      </c>
      <c r="K59" s="795"/>
      <c r="L59" s="796"/>
      <c r="M59" s="797"/>
      <c r="N59" s="796">
        <v>31</v>
      </c>
      <c r="O59" s="797">
        <v>81.92</v>
      </c>
      <c r="P59" s="794"/>
      <c r="Q59" s="797"/>
      <c r="R59" s="794">
        <v>2530</v>
      </c>
      <c r="S59" s="797">
        <v>3000</v>
      </c>
      <c r="T59" s="794">
        <v>6166</v>
      </c>
      <c r="U59" s="797"/>
      <c r="V59" s="794">
        <v>94009</v>
      </c>
      <c r="W59" s="797">
        <v>176785.7</v>
      </c>
      <c r="X59" s="794">
        <v>69967</v>
      </c>
      <c r="Y59" s="795">
        <v>103346.31</v>
      </c>
      <c r="Z59" s="796"/>
      <c r="AA59" s="795"/>
      <c r="AB59" s="796">
        <v>688</v>
      </c>
      <c r="AC59" s="797"/>
      <c r="AD59" s="794">
        <v>18265</v>
      </c>
      <c r="AE59" s="795">
        <v>23136.68</v>
      </c>
      <c r="AF59" s="796">
        <v>10000</v>
      </c>
      <c r="AG59" s="795">
        <v>18687</v>
      </c>
      <c r="AH59" s="796">
        <v>19500</v>
      </c>
      <c r="AI59" s="797">
        <v>32500</v>
      </c>
      <c r="AJ59" s="794">
        <v>2971</v>
      </c>
      <c r="AK59" s="795">
        <v>4398</v>
      </c>
      <c r="AL59" s="796"/>
      <c r="AM59" s="795"/>
      <c r="AN59" s="796">
        <v>72000</v>
      </c>
      <c r="AO59" s="795">
        <v>119000</v>
      </c>
      <c r="AP59" s="796"/>
      <c r="AQ59" s="795"/>
      <c r="AR59" s="796">
        <v>70</v>
      </c>
      <c r="AS59" s="795">
        <v>74</v>
      </c>
      <c r="AT59" s="796">
        <v>928</v>
      </c>
      <c r="AU59" s="795">
        <v>137.88</v>
      </c>
      <c r="AV59" s="796">
        <f t="shared" si="0"/>
        <v>369937</v>
      </c>
      <c r="AW59" s="795">
        <f t="shared" si="0"/>
        <v>527914.49</v>
      </c>
      <c r="AX59" s="796">
        <v>60496</v>
      </c>
      <c r="AY59" s="795">
        <v>233695.88</v>
      </c>
      <c r="AZ59" s="796">
        <f t="shared" si="1"/>
        <v>430433</v>
      </c>
      <c r="BA59" s="797">
        <f t="shared" si="1"/>
        <v>761610.37</v>
      </c>
    </row>
    <row r="60" spans="1:53" x14ac:dyDescent="0.3">
      <c r="A60" s="302" t="s">
        <v>319</v>
      </c>
      <c r="B60" s="794">
        <v>234</v>
      </c>
      <c r="C60" s="795">
        <v>214.67</v>
      </c>
      <c r="D60" s="796"/>
      <c r="E60" s="795"/>
      <c r="F60" s="796">
        <v>136</v>
      </c>
      <c r="G60" s="795">
        <v>163</v>
      </c>
      <c r="H60" s="796"/>
      <c r="I60" s="795"/>
      <c r="J60" s="796">
        <v>5.87</v>
      </c>
      <c r="K60" s="795">
        <v>34</v>
      </c>
      <c r="L60" s="796">
        <v>2</v>
      </c>
      <c r="M60" s="797">
        <v>2</v>
      </c>
      <c r="N60" s="796">
        <v>381</v>
      </c>
      <c r="O60" s="797">
        <v>16.27</v>
      </c>
      <c r="P60" s="794"/>
      <c r="Q60" s="797"/>
      <c r="R60" s="794"/>
      <c r="S60" s="797"/>
      <c r="T60" s="794">
        <v>358</v>
      </c>
      <c r="U60" s="797">
        <v>489.02</v>
      </c>
      <c r="V60" s="794"/>
      <c r="W60" s="797"/>
      <c r="X60" s="794">
        <f>80+94</f>
        <v>174</v>
      </c>
      <c r="Y60" s="795">
        <f>11.76+413.54+85.23</f>
        <v>510.53000000000003</v>
      </c>
      <c r="Z60" s="796"/>
      <c r="AA60" s="795"/>
      <c r="AB60" s="796"/>
      <c r="AC60" s="797"/>
      <c r="AD60" s="794">
        <v>35</v>
      </c>
      <c r="AE60" s="795">
        <v>47.91</v>
      </c>
      <c r="AF60" s="796"/>
      <c r="AG60" s="795"/>
      <c r="AH60" s="796">
        <v>109</v>
      </c>
      <c r="AI60" s="797">
        <v>64.11</v>
      </c>
      <c r="AJ60" s="794">
        <v>109</v>
      </c>
      <c r="AK60" s="795">
        <v>90</v>
      </c>
      <c r="AL60" s="796"/>
      <c r="AM60" s="795"/>
      <c r="AN60" s="796">
        <v>100</v>
      </c>
      <c r="AO60" s="795">
        <v>64.290000000000006</v>
      </c>
      <c r="AP60" s="796"/>
      <c r="AQ60" s="795"/>
      <c r="AR60" s="796"/>
      <c r="AS60" s="795"/>
      <c r="AT60" s="796"/>
      <c r="AU60" s="795"/>
      <c r="AV60" s="796">
        <f t="shared" si="0"/>
        <v>1643.87</v>
      </c>
      <c r="AW60" s="795">
        <f t="shared" si="0"/>
        <v>1695.8</v>
      </c>
      <c r="AX60" s="796">
        <v>1439</v>
      </c>
      <c r="AY60" s="795">
        <v>1366.55</v>
      </c>
      <c r="AZ60" s="796">
        <f t="shared" si="1"/>
        <v>3082.87</v>
      </c>
      <c r="BA60" s="797">
        <f t="shared" si="1"/>
        <v>3062.35</v>
      </c>
    </row>
    <row r="61" spans="1:53" x14ac:dyDescent="0.3">
      <c r="A61" s="302" t="s">
        <v>320</v>
      </c>
      <c r="B61" s="794"/>
      <c r="C61" s="795"/>
      <c r="D61" s="796"/>
      <c r="E61" s="795"/>
      <c r="F61" s="796"/>
      <c r="G61" s="795"/>
      <c r="H61" s="796"/>
      <c r="I61" s="795"/>
      <c r="J61" s="796"/>
      <c r="K61" s="795"/>
      <c r="L61" s="796"/>
      <c r="M61" s="797"/>
      <c r="N61" s="796"/>
      <c r="O61" s="797"/>
      <c r="P61" s="794"/>
      <c r="Q61" s="797"/>
      <c r="R61" s="794"/>
      <c r="S61" s="797"/>
      <c r="T61" s="794"/>
      <c r="U61" s="797"/>
      <c r="V61" s="794">
        <v>1</v>
      </c>
      <c r="W61" s="797">
        <v>0.53</v>
      </c>
      <c r="X61" s="794"/>
      <c r="Y61" s="795"/>
      <c r="Z61" s="796"/>
      <c r="AA61" s="795"/>
      <c r="AB61" s="796"/>
      <c r="AC61" s="797"/>
      <c r="AD61" s="794"/>
      <c r="AE61" s="795"/>
      <c r="AF61" s="796"/>
      <c r="AG61" s="795"/>
      <c r="AH61" s="796"/>
      <c r="AI61" s="797"/>
      <c r="AJ61" s="794"/>
      <c r="AK61" s="795"/>
      <c r="AL61" s="796"/>
      <c r="AM61" s="795"/>
      <c r="AN61" s="796"/>
      <c r="AO61" s="795"/>
      <c r="AP61" s="796"/>
      <c r="AQ61" s="795"/>
      <c r="AR61" s="796"/>
      <c r="AS61" s="795"/>
      <c r="AT61" s="796"/>
      <c r="AU61" s="795"/>
      <c r="AV61" s="796">
        <f t="shared" si="0"/>
        <v>1</v>
      </c>
      <c r="AW61" s="795">
        <f t="shared" si="0"/>
        <v>0.53</v>
      </c>
      <c r="AX61" s="796"/>
      <c r="AY61" s="795"/>
      <c r="AZ61" s="796">
        <f t="shared" si="1"/>
        <v>1</v>
      </c>
      <c r="BA61" s="797">
        <f t="shared" si="1"/>
        <v>0.53</v>
      </c>
    </row>
    <row r="62" spans="1:53" x14ac:dyDescent="0.3">
      <c r="A62" s="302" t="s">
        <v>321</v>
      </c>
      <c r="B62" s="794">
        <v>25</v>
      </c>
      <c r="C62" s="795">
        <v>25</v>
      </c>
      <c r="D62" s="796">
        <v>25</v>
      </c>
      <c r="E62" s="795">
        <v>25</v>
      </c>
      <c r="F62" s="796"/>
      <c r="G62" s="795"/>
      <c r="H62" s="796">
        <v>41</v>
      </c>
      <c r="I62" s="795"/>
      <c r="J62" s="796">
        <v>25</v>
      </c>
      <c r="K62" s="795">
        <v>25</v>
      </c>
      <c r="L62" s="796">
        <v>51</v>
      </c>
      <c r="M62" s="797">
        <v>51</v>
      </c>
      <c r="N62" s="796"/>
      <c r="O62" s="797"/>
      <c r="P62" s="794"/>
      <c r="Q62" s="797"/>
      <c r="R62" s="794"/>
      <c r="S62" s="797"/>
      <c r="T62" s="794"/>
      <c r="U62" s="797"/>
      <c r="V62" s="794">
        <v>35</v>
      </c>
      <c r="W62" s="797">
        <v>34.96</v>
      </c>
      <c r="X62" s="794"/>
      <c r="Y62" s="795"/>
      <c r="Z62" s="796">
        <v>25</v>
      </c>
      <c r="AA62" s="795"/>
      <c r="AB62" s="796"/>
      <c r="AC62" s="797"/>
      <c r="AD62" s="794">
        <v>45</v>
      </c>
      <c r="AE62" s="795">
        <v>45.04</v>
      </c>
      <c r="AF62" s="796">
        <v>25</v>
      </c>
      <c r="AG62" s="795">
        <v>25</v>
      </c>
      <c r="AH62" s="796">
        <v>40</v>
      </c>
      <c r="AI62" s="797">
        <v>40.26</v>
      </c>
      <c r="AJ62" s="794">
        <v>11</v>
      </c>
      <c r="AK62" s="795">
        <v>11</v>
      </c>
      <c r="AL62" s="796"/>
      <c r="AM62" s="795"/>
      <c r="AN62" s="796"/>
      <c r="AO62" s="795"/>
      <c r="AP62" s="796"/>
      <c r="AQ62" s="795"/>
      <c r="AR62" s="796"/>
      <c r="AS62" s="795"/>
      <c r="AT62" s="796">
        <v>86</v>
      </c>
      <c r="AU62" s="795">
        <v>85.6</v>
      </c>
      <c r="AV62" s="796">
        <f t="shared" si="0"/>
        <v>434</v>
      </c>
      <c r="AW62" s="795">
        <f t="shared" si="0"/>
        <v>367.86</v>
      </c>
      <c r="AX62" s="796">
        <v>7.94</v>
      </c>
      <c r="AY62" s="795"/>
      <c r="AZ62" s="796">
        <f t="shared" si="1"/>
        <v>441.94</v>
      </c>
      <c r="BA62" s="797">
        <f t="shared" si="1"/>
        <v>367.86</v>
      </c>
    </row>
    <row r="63" spans="1:53" x14ac:dyDescent="0.3">
      <c r="A63" s="302" t="s">
        <v>322</v>
      </c>
      <c r="B63" s="794"/>
      <c r="C63" s="795"/>
      <c r="D63" s="796">
        <v>821</v>
      </c>
      <c r="E63" s="795">
        <v>820.52</v>
      </c>
      <c r="F63" s="796"/>
      <c r="G63" s="795"/>
      <c r="H63" s="796"/>
      <c r="I63" s="795"/>
      <c r="J63" s="796">
        <v>1929</v>
      </c>
      <c r="K63" s="795">
        <v>3295</v>
      </c>
      <c r="L63" s="796">
        <v>15720</v>
      </c>
      <c r="M63" s="797">
        <v>14741</v>
      </c>
      <c r="N63" s="796">
        <v>1285</v>
      </c>
      <c r="O63" s="797">
        <v>1248.08</v>
      </c>
      <c r="P63" s="794">
        <v>752</v>
      </c>
      <c r="Q63" s="797">
        <v>354.07</v>
      </c>
      <c r="R63" s="794">
        <v>25356</v>
      </c>
      <c r="S63" s="797">
        <v>25356.45</v>
      </c>
      <c r="T63" s="794">
        <v>515</v>
      </c>
      <c r="U63" s="797">
        <v>457.73</v>
      </c>
      <c r="V63" s="794">
        <v>10119</v>
      </c>
      <c r="W63" s="797">
        <v>7087.18</v>
      </c>
      <c r="X63" s="794">
        <v>15370</v>
      </c>
      <c r="Y63" s="795">
        <v>15369.96</v>
      </c>
      <c r="Z63" s="796">
        <v>7924</v>
      </c>
      <c r="AA63" s="795">
        <v>4890</v>
      </c>
      <c r="AB63" s="796">
        <v>7492</v>
      </c>
      <c r="AC63" s="797">
        <v>2830</v>
      </c>
      <c r="AD63" s="794">
        <v>16882</v>
      </c>
      <c r="AE63" s="795">
        <v>22015.200000000001</v>
      </c>
      <c r="AF63" s="796">
        <v>609</v>
      </c>
      <c r="AG63" s="795">
        <v>566</v>
      </c>
      <c r="AH63" s="796">
        <v>1506</v>
      </c>
      <c r="AI63" s="797">
        <v>1506.27</v>
      </c>
      <c r="AJ63" s="794">
        <v>16113</v>
      </c>
      <c r="AK63" s="795">
        <v>16113</v>
      </c>
      <c r="AL63" s="796"/>
      <c r="AM63" s="795"/>
      <c r="AN63" s="796"/>
      <c r="AO63" s="795"/>
      <c r="AP63" s="796"/>
      <c r="AQ63" s="795"/>
      <c r="AR63" s="796">
        <v>8561</v>
      </c>
      <c r="AS63" s="795">
        <v>6462.88</v>
      </c>
      <c r="AT63" s="796"/>
      <c r="AU63" s="795"/>
      <c r="AV63" s="796">
        <f t="shared" si="0"/>
        <v>130954</v>
      </c>
      <c r="AW63" s="795">
        <f t="shared" si="0"/>
        <v>123113.34</v>
      </c>
      <c r="AX63" s="796">
        <v>2807979</v>
      </c>
      <c r="AY63" s="795">
        <v>2526585.23</v>
      </c>
      <c r="AZ63" s="796">
        <f t="shared" si="1"/>
        <v>2938933</v>
      </c>
      <c r="BA63" s="797">
        <f t="shared" si="1"/>
        <v>2649698.5699999998</v>
      </c>
    </row>
    <row r="64" spans="1:53" x14ac:dyDescent="0.3">
      <c r="A64" s="302" t="s">
        <v>323</v>
      </c>
      <c r="B64" s="794"/>
      <c r="C64" s="795"/>
      <c r="D64" s="796"/>
      <c r="E64" s="795"/>
      <c r="F64" s="796"/>
      <c r="G64" s="795"/>
      <c r="H64" s="796"/>
      <c r="I64" s="795"/>
      <c r="J64" s="796"/>
      <c r="K64" s="795"/>
      <c r="L64" s="796"/>
      <c r="M64" s="797"/>
      <c r="N64" s="796"/>
      <c r="O64" s="797"/>
      <c r="P64" s="794"/>
      <c r="Q64" s="797"/>
      <c r="R64" s="794"/>
      <c r="S64" s="797"/>
      <c r="T64" s="794"/>
      <c r="U64" s="797"/>
      <c r="V64" s="794"/>
      <c r="W64" s="797"/>
      <c r="X64" s="794"/>
      <c r="Y64" s="795"/>
      <c r="Z64" s="796"/>
      <c r="AA64" s="795"/>
      <c r="AB64" s="796"/>
      <c r="AC64" s="797"/>
      <c r="AD64" s="794"/>
      <c r="AE64" s="795"/>
      <c r="AF64" s="796"/>
      <c r="AG64" s="795"/>
      <c r="AH64" s="796"/>
      <c r="AI64" s="797"/>
      <c r="AJ64" s="794"/>
      <c r="AK64" s="795"/>
      <c r="AL64" s="796"/>
      <c r="AM64" s="795"/>
      <c r="AN64" s="796"/>
      <c r="AO64" s="795"/>
      <c r="AP64" s="796"/>
      <c r="AQ64" s="795"/>
      <c r="AR64" s="796"/>
      <c r="AS64" s="795"/>
      <c r="AT64" s="796"/>
      <c r="AU64" s="795"/>
      <c r="AV64" s="796">
        <f t="shared" si="0"/>
        <v>0</v>
      </c>
      <c r="AW64" s="795">
        <f t="shared" si="0"/>
        <v>0</v>
      </c>
      <c r="AX64" s="796"/>
      <c r="AY64" s="795"/>
      <c r="AZ64" s="796">
        <f t="shared" si="1"/>
        <v>0</v>
      </c>
      <c r="BA64" s="797">
        <f t="shared" si="1"/>
        <v>0</v>
      </c>
    </row>
    <row r="65" spans="1:53" x14ac:dyDescent="0.3">
      <c r="A65" s="302" t="s">
        <v>324</v>
      </c>
      <c r="B65" s="794"/>
      <c r="C65" s="795"/>
      <c r="D65" s="796">
        <v>662</v>
      </c>
      <c r="E65" s="795">
        <v>731.68</v>
      </c>
      <c r="F65" s="796"/>
      <c r="G65" s="795"/>
      <c r="H65" s="796">
        <v>6523</v>
      </c>
      <c r="I65" s="795">
        <v>5532.07</v>
      </c>
      <c r="J65" s="796"/>
      <c r="K65" s="795"/>
      <c r="L65" s="796"/>
      <c r="M65" s="797"/>
      <c r="N65" s="796"/>
      <c r="O65" s="797"/>
      <c r="P65" s="794"/>
      <c r="Q65" s="797"/>
      <c r="R65" s="794"/>
      <c r="S65" s="797"/>
      <c r="T65" s="794">
        <v>1440</v>
      </c>
      <c r="U65" s="797">
        <v>723.37</v>
      </c>
      <c r="V65" s="794"/>
      <c r="W65" s="797"/>
      <c r="X65" s="794">
        <f>819+11010</f>
        <v>11829</v>
      </c>
      <c r="Y65" s="795">
        <f>719.63+7293.71</f>
        <v>8013.34</v>
      </c>
      <c r="Z65" s="796"/>
      <c r="AA65" s="795"/>
      <c r="AB65" s="796"/>
      <c r="AC65" s="797"/>
      <c r="AD65" s="794"/>
      <c r="AE65" s="795"/>
      <c r="AF65" s="796"/>
      <c r="AG65" s="795"/>
      <c r="AH65" s="796"/>
      <c r="AI65" s="797"/>
      <c r="AJ65" s="794"/>
      <c r="AK65" s="795"/>
      <c r="AL65" s="796"/>
      <c r="AM65" s="795"/>
      <c r="AN65" s="796">
        <v>20087</v>
      </c>
      <c r="AO65" s="795">
        <v>15950.2</v>
      </c>
      <c r="AP65" s="796"/>
      <c r="AQ65" s="795"/>
      <c r="AR65" s="796">
        <f>1082+447</f>
        <v>1529</v>
      </c>
      <c r="AS65" s="795">
        <f>665.34+218.59</f>
        <v>883.93000000000006</v>
      </c>
      <c r="AT65" s="796"/>
      <c r="AU65" s="795"/>
      <c r="AV65" s="796">
        <f t="shared" si="0"/>
        <v>42070</v>
      </c>
      <c r="AW65" s="795">
        <f t="shared" si="0"/>
        <v>31834.59</v>
      </c>
      <c r="AX65" s="796"/>
      <c r="AY65" s="795"/>
      <c r="AZ65" s="796">
        <f t="shared" si="1"/>
        <v>42070</v>
      </c>
      <c r="BA65" s="797">
        <f t="shared" si="1"/>
        <v>31834.59</v>
      </c>
    </row>
    <row r="66" spans="1:53" ht="15" thickBot="1" x14ac:dyDescent="0.35">
      <c r="A66" s="941" t="s">
        <v>74</v>
      </c>
      <c r="B66" s="1044">
        <v>4718</v>
      </c>
      <c r="C66" s="1045">
        <v>4504.46</v>
      </c>
      <c r="D66" s="1046">
        <v>19</v>
      </c>
      <c r="E66" s="1045">
        <v>19.28</v>
      </c>
      <c r="F66" s="1046">
        <v>2100</v>
      </c>
      <c r="G66" s="1045">
        <v>2073</v>
      </c>
      <c r="H66" s="1046">
        <v>703</v>
      </c>
      <c r="I66" s="1045">
        <v>656</v>
      </c>
      <c r="J66" s="1046">
        <v>3756</v>
      </c>
      <c r="K66" s="1045">
        <v>3320</v>
      </c>
      <c r="L66" s="1046">
        <v>3899</v>
      </c>
      <c r="M66" s="1047">
        <v>1961</v>
      </c>
      <c r="N66" s="1046">
        <f>81+2954</f>
        <v>3035</v>
      </c>
      <c r="O66" s="1047">
        <f>81.15+1580.4</f>
        <v>1661.5500000000002</v>
      </c>
      <c r="P66" s="1044">
        <v>172</v>
      </c>
      <c r="Q66" s="1047">
        <v>39</v>
      </c>
      <c r="R66" s="1044">
        <f>5030+7878</f>
        <v>12908</v>
      </c>
      <c r="S66" s="1047">
        <f>2684.25+7140.15</f>
        <v>9824.4</v>
      </c>
      <c r="T66" s="1044">
        <v>9111</v>
      </c>
      <c r="U66" s="1047">
        <v>9111.11</v>
      </c>
      <c r="V66" s="1044">
        <v>4329</v>
      </c>
      <c r="W66" s="1047">
        <v>4213.6000000000004</v>
      </c>
      <c r="X66" s="1044"/>
      <c r="Y66" s="1045"/>
      <c r="Z66" s="1046">
        <v>1846</v>
      </c>
      <c r="AA66" s="1045">
        <v>1436</v>
      </c>
      <c r="AB66" s="1046">
        <v>4778</v>
      </c>
      <c r="AC66" s="1047">
        <v>3722</v>
      </c>
      <c r="AD66" s="1044">
        <v>1894</v>
      </c>
      <c r="AE66" s="1045">
        <v>1364.94</v>
      </c>
      <c r="AF66" s="1046">
        <v>8140</v>
      </c>
      <c r="AG66" s="1045">
        <v>3993</v>
      </c>
      <c r="AH66" s="1046">
        <v>6241</v>
      </c>
      <c r="AI66" s="1047">
        <v>4683</v>
      </c>
      <c r="AJ66" s="1044">
        <v>3629</v>
      </c>
      <c r="AK66" s="1045">
        <v>3375</v>
      </c>
      <c r="AL66" s="1046"/>
      <c r="AM66" s="1045"/>
      <c r="AN66" s="1046">
        <v>27529</v>
      </c>
      <c r="AO66" s="1045">
        <v>10998.8</v>
      </c>
      <c r="AP66" s="1046">
        <v>616</v>
      </c>
      <c r="AQ66" s="1045">
        <v>566.65</v>
      </c>
      <c r="AR66" s="1046"/>
      <c r="AS66" s="1045"/>
      <c r="AT66" s="1046">
        <f>171+362+4017</f>
        <v>4550</v>
      </c>
      <c r="AU66" s="1045">
        <v>1982.21</v>
      </c>
      <c r="AV66" s="1046">
        <f t="shared" si="0"/>
        <v>103973</v>
      </c>
      <c r="AW66" s="1045">
        <f t="shared" si="0"/>
        <v>69505</v>
      </c>
      <c r="AX66" s="1046">
        <f>44406+26346</f>
        <v>70752</v>
      </c>
      <c r="AY66" s="1045">
        <f>39710.76+7569.72</f>
        <v>47280.480000000003</v>
      </c>
      <c r="AZ66" s="1046">
        <f t="shared" si="1"/>
        <v>174725</v>
      </c>
      <c r="BA66" s="1047">
        <f t="shared" si="1"/>
        <v>116785.48000000001</v>
      </c>
    </row>
    <row r="67" spans="1:53" s="59" customFormat="1" ht="15" thickBot="1" x14ac:dyDescent="0.35">
      <c r="A67" s="1048" t="s">
        <v>54</v>
      </c>
      <c r="B67" s="1049"/>
      <c r="C67" s="1050"/>
      <c r="D67" s="1051">
        <v>1527</v>
      </c>
      <c r="E67" s="1050">
        <v>1596.48</v>
      </c>
      <c r="F67" s="1051"/>
      <c r="G67" s="1050"/>
      <c r="H67" s="1051">
        <v>7266</v>
      </c>
      <c r="I67" s="1050">
        <v>6188.07</v>
      </c>
      <c r="J67" s="1051">
        <v>53420</v>
      </c>
      <c r="K67" s="1050">
        <v>6674</v>
      </c>
      <c r="L67" s="1052">
        <v>19672</v>
      </c>
      <c r="M67" s="1053">
        <v>17754</v>
      </c>
      <c r="N67" s="1051">
        <v>4732</v>
      </c>
      <c r="O67" s="1054">
        <v>3007.83</v>
      </c>
      <c r="P67" s="1049"/>
      <c r="Q67" s="1054"/>
      <c r="R67" s="1049">
        <v>40796</v>
      </c>
      <c r="S67" s="1054">
        <v>38180.85</v>
      </c>
      <c r="T67" s="1049">
        <v>17590</v>
      </c>
      <c r="U67" s="1054">
        <v>10781.23</v>
      </c>
      <c r="V67" s="1049">
        <v>108493</v>
      </c>
      <c r="W67" s="1054">
        <v>188121.97</v>
      </c>
      <c r="X67" s="1049">
        <v>97340</v>
      </c>
      <c r="Y67" s="1050">
        <v>127240.14</v>
      </c>
      <c r="Z67" s="1051">
        <v>9795</v>
      </c>
      <c r="AA67" s="1050">
        <v>6326</v>
      </c>
      <c r="AB67" s="1051">
        <v>12959</v>
      </c>
      <c r="AC67" s="1054">
        <v>6553</v>
      </c>
      <c r="AD67" s="1049">
        <v>37121</v>
      </c>
      <c r="AE67" s="1050">
        <v>46610</v>
      </c>
      <c r="AF67" s="1051">
        <v>21272</v>
      </c>
      <c r="AG67" s="1050">
        <v>25865</v>
      </c>
      <c r="AH67" s="1051">
        <v>27397</v>
      </c>
      <c r="AI67" s="1054">
        <v>38793.199999999997</v>
      </c>
      <c r="AJ67" s="1049">
        <v>22833</v>
      </c>
      <c r="AK67" s="1050">
        <v>23987.35</v>
      </c>
      <c r="AL67" s="1051"/>
      <c r="AM67" s="1050"/>
      <c r="AN67" s="1051">
        <v>119716</v>
      </c>
      <c r="AO67" s="1050">
        <v>146013.29</v>
      </c>
      <c r="AP67" s="1051">
        <v>616</v>
      </c>
      <c r="AQ67" s="1050">
        <v>566.65</v>
      </c>
      <c r="AR67" s="1051">
        <v>10160</v>
      </c>
      <c r="AS67" s="1050">
        <v>7420.81</v>
      </c>
      <c r="AT67" s="1051">
        <v>5563</v>
      </c>
      <c r="AU67" s="1050">
        <v>2205.67</v>
      </c>
      <c r="AV67" s="1051">
        <f t="shared" si="0"/>
        <v>618268</v>
      </c>
      <c r="AW67" s="1050">
        <f t="shared" si="0"/>
        <v>703885.54000000015</v>
      </c>
      <c r="AX67" s="1051">
        <v>2940675</v>
      </c>
      <c r="AY67" s="1050">
        <v>2808928.14</v>
      </c>
      <c r="AZ67" s="1051">
        <f t="shared" si="1"/>
        <v>3558943</v>
      </c>
      <c r="BA67" s="1054">
        <f t="shared" si="1"/>
        <v>3512813.68</v>
      </c>
    </row>
  </sheetData>
  <mergeCells count="26">
    <mergeCell ref="AX1:AY1"/>
    <mergeCell ref="AZ1:BA1"/>
    <mergeCell ref="AL1:AM1"/>
    <mergeCell ref="AN1:AO1"/>
    <mergeCell ref="AP1:AQ1"/>
    <mergeCell ref="AR1:AS1"/>
    <mergeCell ref="AT1:AU1"/>
    <mergeCell ref="AV1:AW1"/>
    <mergeCell ref="AJ1:AK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BA14"/>
  <sheetViews>
    <sheetView workbookViewId="0">
      <pane xSplit="1" topLeftCell="B1" activePane="topRight" state="frozen"/>
      <selection pane="topRight" sqref="A1:IV65536"/>
    </sheetView>
  </sheetViews>
  <sheetFormatPr defaultRowHeight="15" x14ac:dyDescent="0.25"/>
  <cols>
    <col min="1" max="1" width="30.42578125" bestFit="1" customWidth="1"/>
    <col min="2" max="53" width="12.85546875" bestFit="1" customWidth="1"/>
    <col min="54" max="54" width="10.7109375" customWidth="1"/>
    <col min="55" max="55" width="12" customWidth="1"/>
  </cols>
  <sheetData>
    <row r="1" spans="1:53" s="70" customFormat="1" ht="18" x14ac:dyDescent="0.35">
      <c r="A1" s="1055" t="s">
        <v>58</v>
      </c>
      <c r="B1" s="1055"/>
      <c r="C1" s="1055"/>
      <c r="D1" s="1055"/>
      <c r="E1" s="1055"/>
      <c r="F1" s="1055"/>
      <c r="G1" s="1055"/>
      <c r="H1" s="1055"/>
      <c r="I1" s="1055"/>
      <c r="J1" s="1055"/>
      <c r="K1" s="1055"/>
      <c r="L1" s="1055"/>
      <c r="M1" s="1055"/>
      <c r="N1" s="1055"/>
      <c r="O1" s="1055"/>
      <c r="P1" s="1055"/>
      <c r="Q1" s="1055"/>
      <c r="R1" s="1055"/>
      <c r="S1" s="1055"/>
      <c r="T1" s="1055"/>
      <c r="U1" s="1055"/>
      <c r="V1" s="1055"/>
      <c r="W1" s="1055"/>
      <c r="X1" s="1055"/>
      <c r="Y1" s="1055"/>
      <c r="Z1" s="1055"/>
      <c r="AA1" s="1055"/>
      <c r="AB1" s="1055"/>
      <c r="AC1" s="1055"/>
      <c r="AD1" s="1055"/>
      <c r="AE1" s="1055"/>
      <c r="AF1" s="1055"/>
      <c r="AG1" s="1055"/>
      <c r="AH1" s="1055"/>
      <c r="AI1" s="1055"/>
      <c r="AJ1" s="1055"/>
      <c r="AK1" s="1055"/>
      <c r="AL1" s="1055"/>
      <c r="AM1" s="1055"/>
      <c r="AN1" s="1055"/>
      <c r="AO1" s="1055"/>
      <c r="AP1" s="1055"/>
      <c r="AQ1" s="1055"/>
      <c r="AR1" s="1055"/>
      <c r="AS1" s="1055"/>
      <c r="AT1" s="1055"/>
      <c r="AU1" s="1055"/>
      <c r="AV1" s="1055"/>
      <c r="AW1" s="1055"/>
      <c r="AX1" s="1055"/>
      <c r="AY1" s="1055"/>
      <c r="AZ1" s="1055"/>
    </row>
    <row r="2" spans="1:53" s="347" customFormat="1" ht="18" thickBot="1" x14ac:dyDescent="0.4">
      <c r="A2" s="1103" t="s">
        <v>334</v>
      </c>
      <c r="B2" s="1103"/>
      <c r="C2" s="1103"/>
      <c r="D2" s="1103"/>
      <c r="E2" s="1103"/>
      <c r="F2" s="1103"/>
      <c r="G2" s="1103"/>
      <c r="H2" s="1103"/>
      <c r="I2" s="1103"/>
      <c r="J2" s="1103"/>
      <c r="K2" s="1103"/>
      <c r="L2" s="1103"/>
      <c r="M2" s="1103"/>
      <c r="N2" s="1103"/>
      <c r="O2" s="1103"/>
      <c r="P2" s="1103"/>
      <c r="Q2" s="1103"/>
      <c r="R2" s="1103"/>
      <c r="S2" s="1103"/>
      <c r="T2" s="1103"/>
      <c r="U2" s="1103"/>
      <c r="V2" s="1103"/>
      <c r="W2" s="1103"/>
      <c r="X2" s="1103"/>
      <c r="Y2" s="1103"/>
      <c r="Z2" s="1103"/>
      <c r="AA2" s="1103"/>
      <c r="AB2" s="1103"/>
      <c r="AC2" s="1103"/>
      <c r="AD2" s="1103"/>
      <c r="AE2" s="1103"/>
      <c r="AF2" s="1103"/>
      <c r="AG2" s="1103"/>
      <c r="AH2" s="1103"/>
      <c r="AI2" s="1103"/>
      <c r="AJ2" s="1103"/>
      <c r="AK2" s="1103"/>
      <c r="AL2" s="1103"/>
      <c r="AM2" s="1103"/>
      <c r="AN2" s="1103"/>
      <c r="AO2" s="1103"/>
      <c r="AP2" s="1103"/>
      <c r="AQ2" s="1103"/>
      <c r="AR2" s="1103"/>
      <c r="AS2" s="1103"/>
      <c r="AT2" s="1103"/>
      <c r="AU2" s="1103"/>
      <c r="AV2" s="1103"/>
      <c r="AW2" s="1103"/>
      <c r="AX2" s="1103"/>
      <c r="AY2" s="1103"/>
      <c r="AZ2" s="1103"/>
    </row>
    <row r="3" spans="1:53" s="646" customFormat="1" ht="28.5" customHeight="1" thickBot="1" x14ac:dyDescent="0.3">
      <c r="A3" s="1104" t="s">
        <v>0</v>
      </c>
      <c r="B3" s="1106" t="s">
        <v>114</v>
      </c>
      <c r="C3" s="1107"/>
      <c r="D3" s="1102" t="s">
        <v>115</v>
      </c>
      <c r="E3" s="1101"/>
      <c r="F3" s="1100" t="s">
        <v>116</v>
      </c>
      <c r="G3" s="1101"/>
      <c r="H3" s="1100" t="s">
        <v>117</v>
      </c>
      <c r="I3" s="1102"/>
      <c r="J3" s="1100" t="s">
        <v>118</v>
      </c>
      <c r="K3" s="1101"/>
      <c r="L3" s="1100" t="s">
        <v>119</v>
      </c>
      <c r="M3" s="1102"/>
      <c r="N3" s="1100" t="s">
        <v>220</v>
      </c>
      <c r="O3" s="1101"/>
      <c r="P3" s="1094" t="s">
        <v>120</v>
      </c>
      <c r="Q3" s="1095"/>
      <c r="R3" s="1102" t="s">
        <v>121</v>
      </c>
      <c r="S3" s="1102"/>
      <c r="T3" s="1100" t="s">
        <v>122</v>
      </c>
      <c r="U3" s="1101"/>
      <c r="V3" s="1100" t="s">
        <v>123</v>
      </c>
      <c r="W3" s="1101"/>
      <c r="X3" s="1100" t="s">
        <v>124</v>
      </c>
      <c r="Y3" s="1101"/>
      <c r="Z3" s="1062" t="s">
        <v>226</v>
      </c>
      <c r="AA3" s="1063"/>
      <c r="AB3" s="1100" t="s">
        <v>125</v>
      </c>
      <c r="AC3" s="1102"/>
      <c r="AD3" s="1092" t="s">
        <v>126</v>
      </c>
      <c r="AE3" s="1093"/>
      <c r="AF3" s="1094" t="s">
        <v>127</v>
      </c>
      <c r="AG3" s="1095"/>
      <c r="AH3" s="1094" t="s">
        <v>128</v>
      </c>
      <c r="AI3" s="1095"/>
      <c r="AJ3" s="1102" t="s">
        <v>129</v>
      </c>
      <c r="AK3" s="1102"/>
      <c r="AL3" s="1092" t="s">
        <v>130</v>
      </c>
      <c r="AM3" s="1093"/>
      <c r="AN3" s="1094" t="s">
        <v>131</v>
      </c>
      <c r="AO3" s="1095"/>
      <c r="AP3" s="1098" t="s">
        <v>132</v>
      </c>
      <c r="AQ3" s="1098"/>
      <c r="AR3" s="1096" t="s">
        <v>133</v>
      </c>
      <c r="AS3" s="1097"/>
      <c r="AT3" s="1098" t="s">
        <v>134</v>
      </c>
      <c r="AU3" s="1098"/>
      <c r="AV3" s="1096" t="s">
        <v>1</v>
      </c>
      <c r="AW3" s="1097"/>
      <c r="AX3" s="1099" t="s">
        <v>135</v>
      </c>
      <c r="AY3" s="1099"/>
      <c r="AZ3" s="1108" t="s">
        <v>2</v>
      </c>
      <c r="BA3" s="1109"/>
    </row>
    <row r="4" spans="1:53" s="348" customFormat="1" ht="15.75" thickBot="1" x14ac:dyDescent="0.3">
      <c r="A4" s="1105"/>
      <c r="B4" s="346" t="s">
        <v>335</v>
      </c>
      <c r="C4" s="346" t="s">
        <v>222</v>
      </c>
      <c r="D4" s="346" t="s">
        <v>335</v>
      </c>
      <c r="E4" s="346" t="s">
        <v>222</v>
      </c>
      <c r="F4" s="346" t="s">
        <v>335</v>
      </c>
      <c r="G4" s="346" t="s">
        <v>222</v>
      </c>
      <c r="H4" s="346" t="s">
        <v>335</v>
      </c>
      <c r="I4" s="346" t="s">
        <v>222</v>
      </c>
      <c r="J4" s="346" t="s">
        <v>335</v>
      </c>
      <c r="K4" s="346" t="s">
        <v>222</v>
      </c>
      <c r="L4" s="346" t="s">
        <v>335</v>
      </c>
      <c r="M4" s="346" t="s">
        <v>222</v>
      </c>
      <c r="N4" s="346" t="s">
        <v>335</v>
      </c>
      <c r="O4" s="346" t="s">
        <v>222</v>
      </c>
      <c r="P4" s="346" t="s">
        <v>335</v>
      </c>
      <c r="Q4" s="346" t="s">
        <v>222</v>
      </c>
      <c r="R4" s="346" t="s">
        <v>335</v>
      </c>
      <c r="S4" s="346" t="s">
        <v>222</v>
      </c>
      <c r="T4" s="346" t="s">
        <v>335</v>
      </c>
      <c r="U4" s="346" t="s">
        <v>222</v>
      </c>
      <c r="V4" s="346" t="s">
        <v>335</v>
      </c>
      <c r="W4" s="346" t="s">
        <v>222</v>
      </c>
      <c r="X4" s="346" t="s">
        <v>335</v>
      </c>
      <c r="Y4" s="346" t="s">
        <v>222</v>
      </c>
      <c r="Z4" s="346" t="s">
        <v>335</v>
      </c>
      <c r="AA4" s="346" t="s">
        <v>222</v>
      </c>
      <c r="AB4" s="346" t="s">
        <v>335</v>
      </c>
      <c r="AC4" s="346" t="s">
        <v>222</v>
      </c>
      <c r="AD4" s="346" t="s">
        <v>335</v>
      </c>
      <c r="AE4" s="346" t="s">
        <v>222</v>
      </c>
      <c r="AF4" s="346" t="s">
        <v>335</v>
      </c>
      <c r="AG4" s="346" t="s">
        <v>222</v>
      </c>
      <c r="AH4" s="346" t="s">
        <v>335</v>
      </c>
      <c r="AI4" s="346" t="s">
        <v>222</v>
      </c>
      <c r="AJ4" s="346" t="s">
        <v>335</v>
      </c>
      <c r="AK4" s="346" t="s">
        <v>222</v>
      </c>
      <c r="AL4" s="346" t="s">
        <v>335</v>
      </c>
      <c r="AM4" s="346" t="s">
        <v>222</v>
      </c>
      <c r="AN4" s="346" t="s">
        <v>335</v>
      </c>
      <c r="AO4" s="346" t="s">
        <v>222</v>
      </c>
      <c r="AP4" s="346" t="s">
        <v>335</v>
      </c>
      <c r="AQ4" s="346" t="s">
        <v>222</v>
      </c>
      <c r="AR4" s="346" t="s">
        <v>335</v>
      </c>
      <c r="AS4" s="346" t="s">
        <v>222</v>
      </c>
      <c r="AT4" s="346" t="s">
        <v>335</v>
      </c>
      <c r="AU4" s="346" t="s">
        <v>222</v>
      </c>
      <c r="AV4" s="346" t="s">
        <v>335</v>
      </c>
      <c r="AW4" s="346" t="s">
        <v>222</v>
      </c>
      <c r="AX4" s="346" t="s">
        <v>335</v>
      </c>
      <c r="AY4" s="346" t="s">
        <v>222</v>
      </c>
      <c r="AZ4" s="346" t="s">
        <v>335</v>
      </c>
      <c r="BA4" s="346" t="s">
        <v>222</v>
      </c>
    </row>
    <row r="5" spans="1:53" s="74" customFormat="1" ht="14.25" x14ac:dyDescent="0.25">
      <c r="A5" s="265" t="s">
        <v>21</v>
      </c>
      <c r="B5" s="146"/>
      <c r="C5" s="148"/>
      <c r="D5" s="149"/>
      <c r="E5" s="147"/>
      <c r="F5" s="146"/>
      <c r="G5" s="147"/>
      <c r="H5" s="146"/>
      <c r="I5" s="153"/>
      <c r="J5" s="146"/>
      <c r="K5" s="148"/>
      <c r="L5" s="146"/>
      <c r="M5" s="153"/>
      <c r="N5" s="146"/>
      <c r="O5" s="148"/>
      <c r="P5" s="146"/>
      <c r="Q5" s="148"/>
      <c r="R5" s="149"/>
      <c r="S5" s="153"/>
      <c r="T5" s="146"/>
      <c r="U5" s="148"/>
      <c r="V5" s="154"/>
      <c r="W5" s="150"/>
      <c r="X5" s="170"/>
      <c r="Y5" s="172"/>
      <c r="Z5" s="146"/>
      <c r="AA5" s="148"/>
      <c r="AB5" s="149"/>
      <c r="AC5" s="153"/>
      <c r="AD5" s="146"/>
      <c r="AE5" s="148"/>
      <c r="AF5" s="170"/>
      <c r="AG5" s="172"/>
      <c r="AH5" s="170"/>
      <c r="AI5" s="172"/>
      <c r="AJ5" s="149"/>
      <c r="AK5" s="153"/>
      <c r="AL5" s="170"/>
      <c r="AM5" s="172"/>
      <c r="AN5" s="170"/>
      <c r="AO5" s="172"/>
      <c r="AP5" s="149"/>
      <c r="AQ5" s="153"/>
      <c r="AR5" s="170"/>
      <c r="AS5" s="172"/>
      <c r="AT5" s="549"/>
      <c r="AU5" s="171"/>
      <c r="AV5" s="146"/>
      <c r="AW5" s="266"/>
      <c r="AX5" s="149"/>
      <c r="AY5" s="147"/>
      <c r="AZ5" s="146"/>
      <c r="BA5" s="267"/>
    </row>
    <row r="6" spans="1:53" s="74" customFormat="1" ht="14.25" x14ac:dyDescent="0.3">
      <c r="A6" s="71" t="s">
        <v>22</v>
      </c>
      <c r="B6" s="108"/>
      <c r="C6" s="75"/>
      <c r="D6" s="109"/>
      <c r="E6" s="77"/>
      <c r="F6" s="76"/>
      <c r="G6" s="77"/>
      <c r="H6" s="76"/>
      <c r="I6" s="79"/>
      <c r="J6" s="76"/>
      <c r="K6" s="78"/>
      <c r="L6" s="76"/>
      <c r="M6" s="79"/>
      <c r="N6" s="76"/>
      <c r="O6" s="78"/>
      <c r="P6" s="76"/>
      <c r="Q6" s="78"/>
      <c r="R6" s="109"/>
      <c r="S6" s="79"/>
      <c r="T6" s="76"/>
      <c r="U6" s="78"/>
      <c r="V6" s="80"/>
      <c r="W6" s="82"/>
      <c r="X6" s="76"/>
      <c r="Y6" s="78"/>
      <c r="Z6" s="83"/>
      <c r="AA6" s="84"/>
      <c r="AB6" s="109"/>
      <c r="AC6" s="79"/>
      <c r="AD6" s="76"/>
      <c r="AE6" s="78"/>
      <c r="AF6" s="76"/>
      <c r="AG6" s="78"/>
      <c r="AH6" s="76"/>
      <c r="AI6" s="78"/>
      <c r="AJ6" s="109"/>
      <c r="AK6" s="79"/>
      <c r="AL6" s="85"/>
      <c r="AM6" s="78"/>
      <c r="AN6" s="637"/>
      <c r="AO6" s="73"/>
      <c r="AP6" s="269"/>
      <c r="AQ6" s="641"/>
      <c r="AR6" s="644"/>
      <c r="AS6" s="552"/>
      <c r="AT6" s="109"/>
      <c r="AU6" s="77"/>
      <c r="AV6" s="87"/>
      <c r="AW6" s="88"/>
      <c r="AX6" s="270"/>
      <c r="AY6" s="86"/>
      <c r="AZ6" s="87"/>
      <c r="BA6" s="78"/>
    </row>
    <row r="7" spans="1:53" s="74" customFormat="1" ht="14.25" x14ac:dyDescent="0.3">
      <c r="A7" s="261" t="s">
        <v>23</v>
      </c>
      <c r="B7" s="268">
        <v>156211</v>
      </c>
      <c r="C7" s="90">
        <v>135721.97</v>
      </c>
      <c r="D7" s="110">
        <v>1510</v>
      </c>
      <c r="E7" s="81">
        <v>4044.27</v>
      </c>
      <c r="F7" s="80">
        <v>16997</v>
      </c>
      <c r="G7" s="81">
        <v>12450</v>
      </c>
      <c r="H7" s="80">
        <v>232064</v>
      </c>
      <c r="I7" s="91">
        <v>147549.26999999999</v>
      </c>
      <c r="J7" s="80">
        <v>46010</v>
      </c>
      <c r="K7" s="82">
        <v>34436.94</v>
      </c>
      <c r="L7" s="80">
        <v>80957</v>
      </c>
      <c r="M7" s="91">
        <v>53885</v>
      </c>
      <c r="N7" s="80">
        <v>8352</v>
      </c>
      <c r="O7" s="82">
        <v>8321.5400000000009</v>
      </c>
      <c r="P7" s="80">
        <v>25446</v>
      </c>
      <c r="Q7" s="82">
        <v>25189.13</v>
      </c>
      <c r="R7" s="110">
        <v>55619</v>
      </c>
      <c r="S7" s="91">
        <v>39630.49</v>
      </c>
      <c r="T7" s="80">
        <v>26858</v>
      </c>
      <c r="U7" s="82">
        <v>23234.71</v>
      </c>
      <c r="V7" s="80">
        <v>547950</v>
      </c>
      <c r="W7" s="82">
        <v>446922.05</v>
      </c>
      <c r="X7" s="80">
        <v>398504</v>
      </c>
      <c r="Y7" s="82">
        <v>31578819</v>
      </c>
      <c r="Z7" s="80">
        <v>23738</v>
      </c>
      <c r="AA7" s="96">
        <v>15404.88</v>
      </c>
      <c r="AB7" s="109">
        <v>88858</v>
      </c>
      <c r="AC7" s="79">
        <v>53057.84</v>
      </c>
      <c r="AD7" s="80">
        <v>189772</v>
      </c>
      <c r="AE7" s="82">
        <v>163638.43</v>
      </c>
      <c r="AF7" s="80">
        <v>357441</v>
      </c>
      <c r="AG7" s="78">
        <v>294705.91999999998</v>
      </c>
      <c r="AH7" s="80">
        <v>113754</v>
      </c>
      <c r="AI7" s="82">
        <v>90351.15</v>
      </c>
      <c r="AJ7" s="110">
        <v>83074</v>
      </c>
      <c r="AK7" s="91">
        <v>66537.16</v>
      </c>
      <c r="AL7" s="85"/>
      <c r="AM7" s="78"/>
      <c r="AN7" s="638">
        <v>908798</v>
      </c>
      <c r="AO7" s="514">
        <v>667781.30000000005</v>
      </c>
      <c r="AP7" s="173">
        <v>40260</v>
      </c>
      <c r="AQ7" s="642">
        <v>39009.71</v>
      </c>
      <c r="AR7" s="98">
        <v>104461</v>
      </c>
      <c r="AS7" s="100">
        <v>50961</v>
      </c>
      <c r="AT7" s="110">
        <v>286717</v>
      </c>
      <c r="AU7" s="81">
        <v>214015.61</v>
      </c>
      <c r="AV7" s="101">
        <f t="shared" ref="AV7:AW9" si="0">SUM(B7+D7+F7+H7+J7+L7+N7+P7+R7+T7+V7+X7+Z7+AB7+AD7+AF7+AH7+AJ7+AL7+AN7+AP7+AR7+AT7)</f>
        <v>3793351</v>
      </c>
      <c r="AW7" s="102">
        <f t="shared" si="0"/>
        <v>34165667.369999997</v>
      </c>
      <c r="AX7" s="271">
        <v>2203509.4900000002</v>
      </c>
      <c r="AY7" s="99">
        <v>2297321.69</v>
      </c>
      <c r="AZ7" s="101">
        <f t="shared" ref="AZ7:BA10" si="1">AV7+AX7</f>
        <v>5996860.4900000002</v>
      </c>
      <c r="BA7" s="102">
        <f t="shared" si="1"/>
        <v>36462989.059999995</v>
      </c>
    </row>
    <row r="8" spans="1:53" s="74" customFormat="1" ht="14.25" x14ac:dyDescent="0.3">
      <c r="A8" s="261" t="s">
        <v>24</v>
      </c>
      <c r="B8" s="268">
        <v>425843</v>
      </c>
      <c r="C8" s="90">
        <v>335514.34000000003</v>
      </c>
      <c r="D8" s="110">
        <v>26884</v>
      </c>
      <c r="E8" s="81">
        <v>30682.68</v>
      </c>
      <c r="F8" s="80">
        <v>61111</v>
      </c>
      <c r="G8" s="81">
        <v>58035</v>
      </c>
      <c r="H8" s="80">
        <v>450809</v>
      </c>
      <c r="I8" s="91">
        <v>370312.14</v>
      </c>
      <c r="J8" s="80">
        <v>107540</v>
      </c>
      <c r="K8" s="82">
        <v>98671.63</v>
      </c>
      <c r="L8" s="80">
        <v>198346</v>
      </c>
      <c r="M8" s="91">
        <v>185600</v>
      </c>
      <c r="N8" s="80">
        <v>57326</v>
      </c>
      <c r="O8" s="82">
        <v>54651.040000000001</v>
      </c>
      <c r="P8" s="80">
        <v>60688</v>
      </c>
      <c r="Q8" s="82">
        <v>48048.69</v>
      </c>
      <c r="R8" s="110">
        <v>177369</v>
      </c>
      <c r="S8" s="91">
        <v>162565.6</v>
      </c>
      <c r="T8" s="80">
        <v>55519</v>
      </c>
      <c r="U8" s="82">
        <v>46557.39</v>
      </c>
      <c r="V8" s="80">
        <v>1446684</v>
      </c>
      <c r="W8" s="82">
        <v>1212647.1100000001</v>
      </c>
      <c r="X8" s="80">
        <v>1515267</v>
      </c>
      <c r="Y8" s="82">
        <v>155941459</v>
      </c>
      <c r="Z8" s="80">
        <v>90219</v>
      </c>
      <c r="AA8" s="96">
        <v>86451.33</v>
      </c>
      <c r="AB8" s="109">
        <v>148490</v>
      </c>
      <c r="AC8" s="79">
        <v>120959.38</v>
      </c>
      <c r="AD8" s="80">
        <v>399889</v>
      </c>
      <c r="AE8" s="82">
        <v>338611.36</v>
      </c>
      <c r="AF8" s="80">
        <v>912844</v>
      </c>
      <c r="AG8" s="82">
        <v>766870.73</v>
      </c>
      <c r="AH8" s="80">
        <v>319791</v>
      </c>
      <c r="AI8" s="82">
        <v>260115.41</v>
      </c>
      <c r="AJ8" s="110">
        <v>251039</v>
      </c>
      <c r="AK8" s="91">
        <v>237446.48</v>
      </c>
      <c r="AL8" s="85"/>
      <c r="AM8" s="78"/>
      <c r="AN8" s="638">
        <v>2245975</v>
      </c>
      <c r="AO8" s="514">
        <v>2017036.35</v>
      </c>
      <c r="AP8" s="173">
        <v>82102</v>
      </c>
      <c r="AQ8" s="642">
        <v>73390.28</v>
      </c>
      <c r="AR8" s="98">
        <v>153634</v>
      </c>
      <c r="AS8" s="100">
        <v>119338</v>
      </c>
      <c r="AT8" s="110">
        <v>560332</v>
      </c>
      <c r="AU8" s="81">
        <v>439133.3</v>
      </c>
      <c r="AV8" s="101">
        <f t="shared" si="0"/>
        <v>9747701</v>
      </c>
      <c r="AW8" s="102">
        <f t="shared" si="0"/>
        <v>163004097.24000001</v>
      </c>
      <c r="AX8" s="271">
        <v>15793490.220000001</v>
      </c>
      <c r="AY8" s="99">
        <v>15140105</v>
      </c>
      <c r="AZ8" s="101">
        <f t="shared" si="1"/>
        <v>25541191.219999999</v>
      </c>
      <c r="BA8" s="102">
        <f t="shared" si="1"/>
        <v>178144202.24000001</v>
      </c>
    </row>
    <row r="9" spans="1:53" s="74" customFormat="1" ht="14.25" x14ac:dyDescent="0.3">
      <c r="A9" s="261" t="s">
        <v>25</v>
      </c>
      <c r="B9" s="268">
        <v>224560</v>
      </c>
      <c r="C9" s="90">
        <v>186976.44</v>
      </c>
      <c r="D9" s="110">
        <v>33</v>
      </c>
      <c r="E9" s="81">
        <v>569.62</v>
      </c>
      <c r="F9" s="80">
        <v>1212</v>
      </c>
      <c r="G9" s="81">
        <v>977</v>
      </c>
      <c r="H9" s="80">
        <v>357958</v>
      </c>
      <c r="I9" s="91">
        <v>234490.93</v>
      </c>
      <c r="J9" s="80">
        <v>15773</v>
      </c>
      <c r="K9" s="82">
        <v>15807.59</v>
      </c>
      <c r="L9" s="80">
        <v>110721</v>
      </c>
      <c r="M9" s="91">
        <v>103999</v>
      </c>
      <c r="N9" s="80">
        <v>11502</v>
      </c>
      <c r="O9" s="82">
        <v>7153.18</v>
      </c>
      <c r="P9" s="80">
        <v>3723</v>
      </c>
      <c r="Q9" s="82">
        <v>1263.51</v>
      </c>
      <c r="R9" s="110">
        <v>11097</v>
      </c>
      <c r="S9" s="91">
        <v>5811.91</v>
      </c>
      <c r="T9" s="80">
        <v>2031</v>
      </c>
      <c r="U9" s="82">
        <v>3961.25</v>
      </c>
      <c r="V9" s="80">
        <v>1159523</v>
      </c>
      <c r="W9" s="82">
        <v>907761.4</v>
      </c>
      <c r="X9" s="80">
        <v>660965</v>
      </c>
      <c r="Y9" s="82">
        <v>48801900</v>
      </c>
      <c r="Z9" s="80">
        <v>30342</v>
      </c>
      <c r="AA9" s="96">
        <v>22285.01</v>
      </c>
      <c r="AB9" s="109">
        <v>115670</v>
      </c>
      <c r="AC9" s="79">
        <v>95840.5</v>
      </c>
      <c r="AD9" s="80">
        <v>178943</v>
      </c>
      <c r="AE9" s="82">
        <v>120734.78</v>
      </c>
      <c r="AF9" s="80">
        <v>171175</v>
      </c>
      <c r="AG9" s="82">
        <v>129621.26</v>
      </c>
      <c r="AH9" s="80">
        <v>39556</v>
      </c>
      <c r="AI9" s="82">
        <v>26683.7</v>
      </c>
      <c r="AJ9" s="110">
        <v>5723</v>
      </c>
      <c r="AK9" s="91">
        <v>4688.26</v>
      </c>
      <c r="AL9" s="85"/>
      <c r="AM9" s="78"/>
      <c r="AN9" s="638">
        <v>970341</v>
      </c>
      <c r="AO9" s="514">
        <v>775927.13</v>
      </c>
      <c r="AP9" s="173">
        <v>21917</v>
      </c>
      <c r="AQ9" s="642">
        <v>13210.12</v>
      </c>
      <c r="AR9" s="98">
        <v>26469</v>
      </c>
      <c r="AS9" s="100">
        <v>21871</v>
      </c>
      <c r="AT9" s="110">
        <v>43694</v>
      </c>
      <c r="AU9" s="81">
        <v>50389.69</v>
      </c>
      <c r="AV9" s="101">
        <f t="shared" si="0"/>
        <v>4162928</v>
      </c>
      <c r="AW9" s="102">
        <f t="shared" si="0"/>
        <v>51531923.279999994</v>
      </c>
      <c r="AX9" s="271">
        <v>10408466.26</v>
      </c>
      <c r="AY9" s="99">
        <v>10713302.619999999</v>
      </c>
      <c r="AZ9" s="101">
        <f t="shared" si="1"/>
        <v>14571394.26</v>
      </c>
      <c r="BA9" s="102">
        <f t="shared" si="1"/>
        <v>62245225.899999991</v>
      </c>
    </row>
    <row r="10" spans="1:53" s="74" customFormat="1" ht="14.25" x14ac:dyDescent="0.3">
      <c r="A10" s="263" t="s">
        <v>26</v>
      </c>
      <c r="B10" s="72">
        <f t="shared" ref="B10:I10" si="2">SUM(B7:B9)</f>
        <v>806614</v>
      </c>
      <c r="C10" s="372">
        <f t="shared" si="2"/>
        <v>658212.75</v>
      </c>
      <c r="D10" s="104">
        <f t="shared" si="2"/>
        <v>28427</v>
      </c>
      <c r="E10" s="72">
        <f t="shared" si="2"/>
        <v>35296.57</v>
      </c>
      <c r="F10" s="72">
        <f t="shared" si="2"/>
        <v>79320</v>
      </c>
      <c r="G10" s="72">
        <f t="shared" si="2"/>
        <v>71462</v>
      </c>
      <c r="H10" s="72">
        <f t="shared" si="2"/>
        <v>1040831</v>
      </c>
      <c r="I10" s="368">
        <f t="shared" si="2"/>
        <v>752352.34000000008</v>
      </c>
      <c r="J10" s="72">
        <f t="shared" ref="J10:R10" si="3">SUM(J7:J9)</f>
        <v>169323</v>
      </c>
      <c r="K10" s="372">
        <f t="shared" si="3"/>
        <v>148916.16</v>
      </c>
      <c r="L10" s="72">
        <f t="shared" si="3"/>
        <v>390024</v>
      </c>
      <c r="M10" s="368">
        <f t="shared" si="3"/>
        <v>343484</v>
      </c>
      <c r="N10" s="72">
        <f t="shared" si="3"/>
        <v>77180</v>
      </c>
      <c r="O10" s="372">
        <f t="shared" si="3"/>
        <v>70125.760000000009</v>
      </c>
      <c r="P10" s="72">
        <f t="shared" si="3"/>
        <v>89857</v>
      </c>
      <c r="Q10" s="372">
        <f t="shared" si="3"/>
        <v>74501.33</v>
      </c>
      <c r="R10" s="104">
        <f t="shared" si="3"/>
        <v>244085</v>
      </c>
      <c r="S10" s="631">
        <f t="shared" ref="S10:X10" si="4">SUM(S7:S9)</f>
        <v>208008</v>
      </c>
      <c r="T10" s="72">
        <f t="shared" si="4"/>
        <v>84408</v>
      </c>
      <c r="U10" s="632">
        <f t="shared" si="4"/>
        <v>73753.350000000006</v>
      </c>
      <c r="V10" s="72">
        <f t="shared" si="4"/>
        <v>3154157</v>
      </c>
      <c r="W10" s="632">
        <f t="shared" si="4"/>
        <v>2567330.56</v>
      </c>
      <c r="X10" s="72">
        <f t="shared" si="4"/>
        <v>2574736</v>
      </c>
      <c r="Y10" s="632">
        <f t="shared" ref="Y10:AV10" si="5">SUM(Y7:Y9)</f>
        <v>236322178</v>
      </c>
      <c r="Z10" s="72">
        <f t="shared" si="5"/>
        <v>144299</v>
      </c>
      <c r="AA10" s="632">
        <f t="shared" si="5"/>
        <v>124141.22</v>
      </c>
      <c r="AB10" s="104">
        <f t="shared" si="5"/>
        <v>353018</v>
      </c>
      <c r="AC10" s="631">
        <f t="shared" si="5"/>
        <v>269857.71999999997</v>
      </c>
      <c r="AD10" s="72">
        <f t="shared" si="5"/>
        <v>768604</v>
      </c>
      <c r="AE10" s="632">
        <f t="shared" si="5"/>
        <v>622984.56999999995</v>
      </c>
      <c r="AF10" s="72">
        <f t="shared" si="5"/>
        <v>1441460</v>
      </c>
      <c r="AG10" s="632">
        <f t="shared" si="5"/>
        <v>1191197.9099999999</v>
      </c>
      <c r="AH10" s="72">
        <f t="shared" si="5"/>
        <v>473101</v>
      </c>
      <c r="AI10" s="632">
        <f t="shared" si="5"/>
        <v>377150.26</v>
      </c>
      <c r="AJ10" s="104">
        <f t="shared" si="5"/>
        <v>339836</v>
      </c>
      <c r="AK10" s="631">
        <f t="shared" si="5"/>
        <v>308671.90000000002</v>
      </c>
      <c r="AL10" s="72">
        <f t="shared" si="5"/>
        <v>0</v>
      </c>
      <c r="AM10" s="632">
        <f t="shared" si="5"/>
        <v>0</v>
      </c>
      <c r="AN10" s="72">
        <f t="shared" si="5"/>
        <v>4125114</v>
      </c>
      <c r="AO10" s="632">
        <f t="shared" si="5"/>
        <v>3460744.7800000003</v>
      </c>
      <c r="AP10" s="104">
        <f t="shared" si="5"/>
        <v>144279</v>
      </c>
      <c r="AQ10" s="631">
        <f t="shared" si="5"/>
        <v>125610.10999999999</v>
      </c>
      <c r="AR10" s="72">
        <f t="shared" si="5"/>
        <v>284564</v>
      </c>
      <c r="AS10" s="632">
        <f t="shared" si="5"/>
        <v>192170</v>
      </c>
      <c r="AT10" s="104">
        <f t="shared" si="5"/>
        <v>890743</v>
      </c>
      <c r="AU10" s="104">
        <f t="shared" si="5"/>
        <v>703538.59999999986</v>
      </c>
      <c r="AV10" s="372">
        <f t="shared" si="5"/>
        <v>17703980</v>
      </c>
      <c r="AW10" s="102">
        <f>SUM(C10+E10+G10+I10+K10+M10+O10+Q10+S10+U10+W10+Y10+AA10+AC10+AE10+AG10+AI10+AK10+AM10+AO10+AQ10+AS10+AU10)</f>
        <v>248701687.88999999</v>
      </c>
      <c r="AX10" s="111">
        <f>SUM(AX7:AX9)</f>
        <v>28405465.969999999</v>
      </c>
      <c r="AY10" s="111">
        <f>SUM(AY7:AY9)</f>
        <v>28150729.310000002</v>
      </c>
      <c r="AZ10" s="101">
        <f t="shared" si="1"/>
        <v>46109445.969999999</v>
      </c>
      <c r="BA10" s="102">
        <f t="shared" si="1"/>
        <v>276852417.19999999</v>
      </c>
    </row>
    <row r="11" spans="1:53" s="74" customFormat="1" ht="14.25" x14ac:dyDescent="0.3">
      <c r="A11" s="261" t="s">
        <v>27</v>
      </c>
      <c r="B11" s="268"/>
      <c r="C11" s="90"/>
      <c r="D11" s="110"/>
      <c r="E11" s="81"/>
      <c r="F11" s="80"/>
      <c r="G11" s="81"/>
      <c r="H11" s="80"/>
      <c r="I11" s="91"/>
      <c r="J11" s="80"/>
      <c r="K11" s="82"/>
      <c r="L11" s="80"/>
      <c r="M11" s="91"/>
      <c r="N11" s="80"/>
      <c r="O11" s="82"/>
      <c r="P11" s="80"/>
      <c r="Q11" s="82"/>
      <c r="R11" s="110"/>
      <c r="S11" s="91"/>
      <c r="T11" s="80"/>
      <c r="U11" s="82"/>
      <c r="V11" s="80"/>
      <c r="W11" s="82"/>
      <c r="X11" s="80"/>
      <c r="Y11" s="82"/>
      <c r="Z11" s="80"/>
      <c r="AA11" s="82"/>
      <c r="AB11" s="109"/>
      <c r="AC11" s="79"/>
      <c r="AD11" s="80"/>
      <c r="AE11" s="82"/>
      <c r="AF11" s="80"/>
      <c r="AG11" s="82"/>
      <c r="AH11" s="80"/>
      <c r="AI11" s="82"/>
      <c r="AJ11" s="110"/>
      <c r="AK11" s="91"/>
      <c r="AL11" s="85"/>
      <c r="AM11" s="78"/>
      <c r="AN11" s="637"/>
      <c r="AO11" s="73"/>
      <c r="AP11" s="173"/>
      <c r="AQ11" s="642"/>
      <c r="AR11" s="98"/>
      <c r="AS11" s="100"/>
      <c r="AT11" s="110"/>
      <c r="AU11" s="81"/>
      <c r="AV11" s="101"/>
      <c r="AW11" s="102"/>
      <c r="AX11" s="271"/>
      <c r="AY11" s="99"/>
      <c r="AZ11" s="101"/>
      <c r="BA11" s="102"/>
    </row>
    <row r="12" spans="1:53" s="74" customFormat="1" ht="14.25" x14ac:dyDescent="0.3">
      <c r="A12" s="261" t="s">
        <v>28</v>
      </c>
      <c r="B12" s="268">
        <f t="shared" ref="B12:L12" si="6">B10</f>
        <v>806614</v>
      </c>
      <c r="C12" s="645">
        <f t="shared" si="6"/>
        <v>658212.75</v>
      </c>
      <c r="D12" s="111">
        <f t="shared" si="6"/>
        <v>28427</v>
      </c>
      <c r="E12" s="111">
        <f t="shared" si="6"/>
        <v>35296.57</v>
      </c>
      <c r="F12" s="101">
        <v>76983</v>
      </c>
      <c r="G12" s="111">
        <v>69437</v>
      </c>
      <c r="H12" s="101">
        <f t="shared" si="6"/>
        <v>1040831</v>
      </c>
      <c r="I12" s="112">
        <f t="shared" si="6"/>
        <v>752352.34000000008</v>
      </c>
      <c r="J12" s="101">
        <f t="shared" si="6"/>
        <v>169323</v>
      </c>
      <c r="K12" s="113">
        <f t="shared" si="6"/>
        <v>148916.16</v>
      </c>
      <c r="L12" s="101">
        <f t="shared" si="6"/>
        <v>390024</v>
      </c>
      <c r="M12" s="112">
        <f t="shared" ref="M12:Y12" si="7">M10</f>
        <v>343484</v>
      </c>
      <c r="N12" s="101">
        <f t="shared" si="7"/>
        <v>77180</v>
      </c>
      <c r="O12" s="113">
        <f t="shared" si="7"/>
        <v>70125.760000000009</v>
      </c>
      <c r="P12" s="101">
        <f t="shared" si="7"/>
        <v>89857</v>
      </c>
      <c r="Q12" s="113">
        <f t="shared" si="7"/>
        <v>74501.33</v>
      </c>
      <c r="R12" s="111">
        <f t="shared" si="7"/>
        <v>244085</v>
      </c>
      <c r="S12" s="112">
        <f t="shared" si="7"/>
        <v>208008</v>
      </c>
      <c r="T12" s="101">
        <f t="shared" si="7"/>
        <v>84408</v>
      </c>
      <c r="U12" s="113">
        <f t="shared" si="7"/>
        <v>73753.350000000006</v>
      </c>
      <c r="V12" s="101">
        <f t="shared" si="7"/>
        <v>3154157</v>
      </c>
      <c r="W12" s="113">
        <f t="shared" si="7"/>
        <v>2567330.56</v>
      </c>
      <c r="X12" s="101">
        <f t="shared" si="7"/>
        <v>2574736</v>
      </c>
      <c r="Y12" s="113">
        <f t="shared" si="7"/>
        <v>236322178</v>
      </c>
      <c r="Z12" s="80">
        <f>Z10</f>
        <v>144299</v>
      </c>
      <c r="AA12" s="550">
        <f>AA10</f>
        <v>124141.22</v>
      </c>
      <c r="AB12" s="109">
        <f>AB10</f>
        <v>353018</v>
      </c>
      <c r="AC12" s="633">
        <f>AC10</f>
        <v>269857.71999999997</v>
      </c>
      <c r="AD12" s="80">
        <f>AD10</f>
        <v>768604</v>
      </c>
      <c r="AE12" s="547">
        <f t="shared" ref="AE12:AS12" si="8">AE10</f>
        <v>622984.56999999995</v>
      </c>
      <c r="AF12" s="80">
        <f t="shared" si="8"/>
        <v>1441460</v>
      </c>
      <c r="AG12" s="547">
        <f t="shared" si="8"/>
        <v>1191197.9099999999</v>
      </c>
      <c r="AH12" s="80">
        <f t="shared" si="8"/>
        <v>473101</v>
      </c>
      <c r="AI12" s="547">
        <f t="shared" si="8"/>
        <v>377150.26</v>
      </c>
      <c r="AJ12" s="110">
        <f t="shared" si="8"/>
        <v>339836</v>
      </c>
      <c r="AK12" s="635">
        <f t="shared" si="8"/>
        <v>308671.90000000002</v>
      </c>
      <c r="AL12" s="80">
        <f t="shared" si="8"/>
        <v>0</v>
      </c>
      <c r="AM12" s="547">
        <f t="shared" si="8"/>
        <v>0</v>
      </c>
      <c r="AN12" s="80">
        <f t="shared" si="8"/>
        <v>4125114</v>
      </c>
      <c r="AO12" s="547">
        <f t="shared" si="8"/>
        <v>3460744.7800000003</v>
      </c>
      <c r="AP12" s="110">
        <f t="shared" si="8"/>
        <v>144279</v>
      </c>
      <c r="AQ12" s="635">
        <f t="shared" si="8"/>
        <v>125610.10999999999</v>
      </c>
      <c r="AR12" s="80">
        <f t="shared" si="8"/>
        <v>284564</v>
      </c>
      <c r="AS12" s="547">
        <f t="shared" si="8"/>
        <v>192170</v>
      </c>
      <c r="AT12" s="271">
        <f>AT10</f>
        <v>890743</v>
      </c>
      <c r="AU12" s="99">
        <f>AU10</f>
        <v>703538.59999999986</v>
      </c>
      <c r="AV12" s="548">
        <f>AV10</f>
        <v>17703980</v>
      </c>
      <c r="AW12" s="102">
        <f>SUM(C12+E12+G12+I12+K12+M12+O12+Q12+S12+U12+W12+Y12+AA12+AC12+AE12+AG12+AI12+AK12+AM12+AO12+AQ12+AS12+AU12)</f>
        <v>248699662.88999999</v>
      </c>
      <c r="AX12" s="271">
        <f>AX10</f>
        <v>28405465.969999999</v>
      </c>
      <c r="AY12" s="271">
        <f>AY10</f>
        <v>28150729.310000002</v>
      </c>
      <c r="AZ12" s="101">
        <f>AV12+AX12</f>
        <v>46109445.969999999</v>
      </c>
      <c r="BA12" s="102">
        <f>AW12+AY12</f>
        <v>276850392.19999999</v>
      </c>
    </row>
    <row r="13" spans="1:53" s="74" customFormat="1" ht="14.25" x14ac:dyDescent="0.3">
      <c r="A13" s="71" t="s">
        <v>29</v>
      </c>
      <c r="B13" s="268"/>
      <c r="C13" s="90"/>
      <c r="D13" s="110"/>
      <c r="E13" s="81"/>
      <c r="F13" s="80">
        <v>2337</v>
      </c>
      <c r="G13" s="81">
        <v>2024</v>
      </c>
      <c r="H13" s="80"/>
      <c r="I13" s="91"/>
      <c r="J13" s="80"/>
      <c r="K13" s="82"/>
      <c r="L13" s="80"/>
      <c r="M13" s="91"/>
      <c r="N13" s="80"/>
      <c r="O13" s="82"/>
      <c r="P13" s="80"/>
      <c r="Q13" s="82"/>
      <c r="R13" s="110"/>
      <c r="S13" s="91"/>
      <c r="T13" s="80"/>
      <c r="U13" s="82"/>
      <c r="V13" s="80"/>
      <c r="W13" s="82"/>
      <c r="X13" s="80"/>
      <c r="Y13" s="82"/>
      <c r="Z13" s="80"/>
      <c r="AA13" s="82"/>
      <c r="AB13" s="109"/>
      <c r="AC13" s="79"/>
      <c r="AD13" s="80"/>
      <c r="AE13" s="82"/>
      <c r="AF13" s="80"/>
      <c r="AG13" s="82"/>
      <c r="AH13" s="80"/>
      <c r="AI13" s="82"/>
      <c r="AJ13" s="110"/>
      <c r="AK13" s="91"/>
      <c r="AL13" s="85"/>
      <c r="AM13" s="78"/>
      <c r="AN13" s="639"/>
      <c r="AO13" s="73"/>
      <c r="AP13" s="173"/>
      <c r="AQ13" s="642"/>
      <c r="AR13" s="98"/>
      <c r="AS13" s="100"/>
      <c r="AT13" s="110"/>
      <c r="AU13" s="81"/>
      <c r="AV13" s="101"/>
      <c r="AW13" s="102"/>
      <c r="AX13" s="271"/>
      <c r="AY13" s="99"/>
      <c r="AZ13" s="101"/>
      <c r="BA13" s="102"/>
    </row>
    <row r="14" spans="1:53" s="364" customFormat="1" thickBot="1" x14ac:dyDescent="0.35">
      <c r="A14" s="349" t="s">
        <v>26</v>
      </c>
      <c r="B14" s="350">
        <f>B10</f>
        <v>806614</v>
      </c>
      <c r="C14" s="351">
        <f t="shared" ref="C14:W14" si="9">C10</f>
        <v>658212.75</v>
      </c>
      <c r="D14" s="352">
        <f t="shared" si="9"/>
        <v>28427</v>
      </c>
      <c r="E14" s="352">
        <f t="shared" si="9"/>
        <v>35296.57</v>
      </c>
      <c r="F14" s="350">
        <f t="shared" si="9"/>
        <v>79320</v>
      </c>
      <c r="G14" s="352">
        <f t="shared" si="9"/>
        <v>71462</v>
      </c>
      <c r="H14" s="350">
        <f t="shared" si="9"/>
        <v>1040831</v>
      </c>
      <c r="I14" s="353">
        <f t="shared" si="9"/>
        <v>752352.34000000008</v>
      </c>
      <c r="J14" s="350">
        <f t="shared" si="9"/>
        <v>169323</v>
      </c>
      <c r="K14" s="354">
        <f t="shared" si="9"/>
        <v>148916.16</v>
      </c>
      <c r="L14" s="350">
        <f t="shared" si="9"/>
        <v>390024</v>
      </c>
      <c r="M14" s="353">
        <f t="shared" si="9"/>
        <v>343484</v>
      </c>
      <c r="N14" s="350">
        <f t="shared" si="9"/>
        <v>77180</v>
      </c>
      <c r="O14" s="354">
        <f t="shared" si="9"/>
        <v>70125.760000000009</v>
      </c>
      <c r="P14" s="350">
        <f t="shared" si="9"/>
        <v>89857</v>
      </c>
      <c r="Q14" s="354">
        <f t="shared" si="9"/>
        <v>74501.33</v>
      </c>
      <c r="R14" s="352">
        <f t="shared" si="9"/>
        <v>244085</v>
      </c>
      <c r="S14" s="353">
        <f t="shared" si="9"/>
        <v>208008</v>
      </c>
      <c r="T14" s="350">
        <f t="shared" si="9"/>
        <v>84408</v>
      </c>
      <c r="U14" s="354">
        <f t="shared" si="9"/>
        <v>73753.350000000006</v>
      </c>
      <c r="V14" s="350">
        <f t="shared" si="9"/>
        <v>3154157</v>
      </c>
      <c r="W14" s="354">
        <f t="shared" si="9"/>
        <v>2567330.56</v>
      </c>
      <c r="X14" s="356">
        <f t="shared" ref="X14:AD14" si="10">X10</f>
        <v>2574736</v>
      </c>
      <c r="Y14" s="446">
        <f t="shared" si="10"/>
        <v>236322178</v>
      </c>
      <c r="Z14" s="356">
        <f t="shared" si="10"/>
        <v>144299</v>
      </c>
      <c r="AA14" s="446">
        <f t="shared" si="10"/>
        <v>124141.22</v>
      </c>
      <c r="AB14" s="358">
        <f t="shared" si="10"/>
        <v>353018</v>
      </c>
      <c r="AC14" s="634">
        <f t="shared" si="10"/>
        <v>269857.71999999997</v>
      </c>
      <c r="AD14" s="356">
        <f t="shared" si="10"/>
        <v>768604</v>
      </c>
      <c r="AE14" s="357">
        <f t="shared" ref="AE14:AV14" si="11">AE10</f>
        <v>622984.56999999995</v>
      </c>
      <c r="AF14" s="356">
        <f t="shared" si="11"/>
        <v>1441460</v>
      </c>
      <c r="AG14" s="446">
        <f t="shared" si="11"/>
        <v>1191197.9099999999</v>
      </c>
      <c r="AH14" s="356">
        <f t="shared" si="11"/>
        <v>473101</v>
      </c>
      <c r="AI14" s="446">
        <f t="shared" si="11"/>
        <v>377150.26</v>
      </c>
      <c r="AJ14" s="355">
        <f t="shared" si="11"/>
        <v>339836</v>
      </c>
      <c r="AK14" s="636">
        <f t="shared" si="11"/>
        <v>308671.90000000002</v>
      </c>
      <c r="AL14" s="356">
        <f t="shared" si="11"/>
        <v>0</v>
      </c>
      <c r="AM14" s="446">
        <f t="shared" si="11"/>
        <v>0</v>
      </c>
      <c r="AN14" s="640">
        <f t="shared" si="11"/>
        <v>4125114</v>
      </c>
      <c r="AO14" s="447">
        <f t="shared" si="11"/>
        <v>3460744.7800000003</v>
      </c>
      <c r="AP14" s="359">
        <f t="shared" si="11"/>
        <v>144279</v>
      </c>
      <c r="AQ14" s="643">
        <f t="shared" si="11"/>
        <v>125610.10999999999</v>
      </c>
      <c r="AR14" s="361">
        <f t="shared" si="11"/>
        <v>284564</v>
      </c>
      <c r="AS14" s="363">
        <f t="shared" si="11"/>
        <v>192170</v>
      </c>
      <c r="AT14" s="360">
        <f t="shared" si="11"/>
        <v>890743</v>
      </c>
      <c r="AU14" s="362">
        <f t="shared" si="11"/>
        <v>703538.59999999986</v>
      </c>
      <c r="AV14" s="356">
        <f t="shared" si="11"/>
        <v>17703980</v>
      </c>
      <c r="AW14" s="357">
        <f>SUM(C14+E14+G14+I14+K14+M14+O14+Q14+S14+U14+W14+Y14+AA14+AC14+AE14+AG14+AI14+AK14+AM14+AO14+AQ14+AS14+AU14)</f>
        <v>248701687.88999999</v>
      </c>
      <c r="AX14" s="360">
        <f>AX10</f>
        <v>28405465.969999999</v>
      </c>
      <c r="AY14" s="360">
        <f>AY10</f>
        <v>28150729.310000002</v>
      </c>
      <c r="AZ14" s="356">
        <f>AV14+AX14</f>
        <v>46109445.969999999</v>
      </c>
      <c r="BA14" s="357">
        <f>AW14+AY14</f>
        <v>276852417.19999999</v>
      </c>
    </row>
  </sheetData>
  <mergeCells count="29">
    <mergeCell ref="H3:I3"/>
    <mergeCell ref="X3:Y3"/>
    <mergeCell ref="A1:AZ1"/>
    <mergeCell ref="A2:AZ2"/>
    <mergeCell ref="A3:A4"/>
    <mergeCell ref="B3:C3"/>
    <mergeCell ref="D3:E3"/>
    <mergeCell ref="AJ3:AK3"/>
    <mergeCell ref="AZ3:BA3"/>
    <mergeCell ref="V3:W3"/>
    <mergeCell ref="F3:G3"/>
    <mergeCell ref="Z3:AA3"/>
    <mergeCell ref="AP3:AQ3"/>
    <mergeCell ref="AL3:AM3"/>
    <mergeCell ref="J3:K3"/>
    <mergeCell ref="L3:M3"/>
    <mergeCell ref="AT3:AU3"/>
    <mergeCell ref="AV3:AW3"/>
    <mergeCell ref="AX3:AY3"/>
    <mergeCell ref="N3:O3"/>
    <mergeCell ref="AB3:AC3"/>
    <mergeCell ref="P3:Q3"/>
    <mergeCell ref="R3:S3"/>
    <mergeCell ref="T3:U3"/>
    <mergeCell ref="AD3:AE3"/>
    <mergeCell ref="AF3:AG3"/>
    <mergeCell ref="AH3:AI3"/>
    <mergeCell ref="AN3:AO3"/>
    <mergeCell ref="AR3:AS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BA28"/>
  <sheetViews>
    <sheetView workbookViewId="0">
      <pane xSplit="1" topLeftCell="B1" activePane="topRight" state="frozen"/>
      <selection pane="topRight" activeCell="E7" sqref="E7"/>
    </sheetView>
  </sheetViews>
  <sheetFormatPr defaultRowHeight="12.75" x14ac:dyDescent="0.25"/>
  <cols>
    <col min="1" max="1" width="33.28515625" style="157" customWidth="1"/>
    <col min="2" max="53" width="12.85546875" style="157" bestFit="1" customWidth="1"/>
    <col min="54" max="16384" width="9.140625" style="157"/>
  </cols>
  <sheetData>
    <row r="1" spans="1:53" s="168" customFormat="1" ht="14.25" x14ac:dyDescent="0.3">
      <c r="A1" s="1068" t="s">
        <v>110</v>
      </c>
      <c r="B1" s="1068"/>
      <c r="C1" s="1068"/>
      <c r="D1" s="1068"/>
      <c r="E1" s="1068"/>
      <c r="F1" s="1068"/>
      <c r="G1" s="1068"/>
      <c r="H1" s="1068"/>
      <c r="I1" s="1068"/>
      <c r="J1" s="1068"/>
      <c r="K1" s="1068"/>
      <c r="L1" s="1068"/>
      <c r="M1" s="1068"/>
      <c r="N1" s="1068"/>
      <c r="O1" s="1068"/>
      <c r="P1" s="1068"/>
      <c r="Q1" s="1068"/>
      <c r="R1" s="1068"/>
      <c r="S1" s="1068"/>
      <c r="T1" s="1068"/>
      <c r="U1" s="1068"/>
      <c r="V1" s="1068"/>
      <c r="W1" s="1068"/>
      <c r="X1" s="1068"/>
      <c r="Y1" s="1068"/>
      <c r="Z1" s="1068"/>
      <c r="AA1" s="1068"/>
      <c r="AB1" s="1068"/>
      <c r="AC1" s="1068"/>
      <c r="AD1" s="1068"/>
      <c r="AE1" s="1068"/>
      <c r="AF1" s="1068"/>
      <c r="AG1" s="1068"/>
      <c r="AH1" s="1068"/>
      <c r="AI1" s="1068"/>
      <c r="AJ1" s="1068"/>
      <c r="AK1" s="1068"/>
      <c r="AL1" s="1068"/>
      <c r="AM1" s="1068"/>
      <c r="AN1" s="1068"/>
      <c r="AO1" s="1068"/>
      <c r="AP1" s="1068"/>
      <c r="AQ1" s="1068"/>
      <c r="AR1" s="1068"/>
      <c r="AS1" s="1068"/>
      <c r="AT1" s="1068"/>
      <c r="AU1" s="1068"/>
      <c r="AV1" s="1068"/>
      <c r="AW1" s="1068"/>
      <c r="AX1" s="1068"/>
      <c r="AY1" s="1068"/>
      <c r="AZ1" s="1068"/>
    </row>
    <row r="2" spans="1:53" s="365" customFormat="1" ht="16.5" thickBot="1" x14ac:dyDescent="0.4">
      <c r="A2" s="1115" t="s">
        <v>334</v>
      </c>
      <c r="B2" s="1115"/>
      <c r="C2" s="1115"/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5"/>
      <c r="O2" s="1115"/>
      <c r="P2" s="1115"/>
      <c r="Q2" s="1115"/>
      <c r="R2" s="1115"/>
      <c r="S2" s="1115"/>
      <c r="T2" s="1115"/>
      <c r="U2" s="1115"/>
      <c r="V2" s="1115"/>
      <c r="W2" s="1115"/>
      <c r="X2" s="1115"/>
      <c r="Y2" s="1115"/>
      <c r="Z2" s="1115"/>
      <c r="AA2" s="1115"/>
      <c r="AB2" s="1115"/>
      <c r="AC2" s="1115"/>
      <c r="AD2" s="1115"/>
      <c r="AE2" s="1115"/>
      <c r="AF2" s="1115"/>
      <c r="AG2" s="1115"/>
      <c r="AH2" s="1115"/>
      <c r="AI2" s="1115"/>
      <c r="AJ2" s="1115"/>
      <c r="AK2" s="1115"/>
      <c r="AL2" s="1115"/>
      <c r="AM2" s="1115"/>
      <c r="AN2" s="1115"/>
      <c r="AO2" s="1115"/>
      <c r="AP2" s="1115"/>
      <c r="AQ2" s="1115"/>
      <c r="AR2" s="1115"/>
      <c r="AS2" s="1115"/>
      <c r="AT2" s="1115"/>
      <c r="AU2" s="1115"/>
      <c r="AV2" s="1115"/>
      <c r="AW2" s="1115"/>
      <c r="AX2" s="1115"/>
      <c r="AY2" s="1115"/>
      <c r="AZ2" s="1115"/>
    </row>
    <row r="3" spans="1:53" ht="30" customHeight="1" thickBot="1" x14ac:dyDescent="0.3">
      <c r="A3" s="1116" t="s">
        <v>0</v>
      </c>
      <c r="B3" s="1118" t="s">
        <v>114</v>
      </c>
      <c r="C3" s="1119"/>
      <c r="D3" s="1112" t="s">
        <v>115</v>
      </c>
      <c r="E3" s="1113"/>
      <c r="F3" s="1112" t="s">
        <v>116</v>
      </c>
      <c r="G3" s="1113"/>
      <c r="H3" s="1112" t="s">
        <v>117</v>
      </c>
      <c r="I3" s="1113"/>
      <c r="J3" s="1112" t="s">
        <v>118</v>
      </c>
      <c r="K3" s="1113"/>
      <c r="L3" s="1112" t="s">
        <v>119</v>
      </c>
      <c r="M3" s="1113"/>
      <c r="N3" s="1120" t="s">
        <v>220</v>
      </c>
      <c r="O3" s="1121"/>
      <c r="P3" s="1120" t="s">
        <v>120</v>
      </c>
      <c r="Q3" s="1121"/>
      <c r="R3" s="1112" t="s">
        <v>121</v>
      </c>
      <c r="S3" s="1113"/>
      <c r="T3" s="1112" t="s">
        <v>122</v>
      </c>
      <c r="U3" s="1113"/>
      <c r="V3" s="1112" t="s">
        <v>123</v>
      </c>
      <c r="W3" s="1113"/>
      <c r="X3" s="1112" t="s">
        <v>124</v>
      </c>
      <c r="Y3" s="1113"/>
      <c r="Z3" s="1063" t="s">
        <v>226</v>
      </c>
      <c r="AA3" s="1114"/>
      <c r="AB3" s="1122" t="s">
        <v>125</v>
      </c>
      <c r="AC3" s="1113"/>
      <c r="AD3" s="1110" t="s">
        <v>126</v>
      </c>
      <c r="AE3" s="1111"/>
      <c r="AF3" s="1112" t="s">
        <v>127</v>
      </c>
      <c r="AG3" s="1113"/>
      <c r="AH3" s="1112" t="s">
        <v>128</v>
      </c>
      <c r="AI3" s="1113"/>
      <c r="AJ3" s="1112" t="s">
        <v>129</v>
      </c>
      <c r="AK3" s="1113"/>
      <c r="AL3" s="1110" t="s">
        <v>130</v>
      </c>
      <c r="AM3" s="1111"/>
      <c r="AN3" s="1112" t="s">
        <v>131</v>
      </c>
      <c r="AO3" s="1113"/>
      <c r="AP3" s="1112" t="s">
        <v>132</v>
      </c>
      <c r="AQ3" s="1113"/>
      <c r="AR3" s="1112" t="s">
        <v>133</v>
      </c>
      <c r="AS3" s="1113"/>
      <c r="AT3" s="1112" t="s">
        <v>134</v>
      </c>
      <c r="AU3" s="1113"/>
      <c r="AV3" s="1112" t="s">
        <v>1</v>
      </c>
      <c r="AW3" s="1113"/>
      <c r="AX3" s="1110" t="s">
        <v>135</v>
      </c>
      <c r="AY3" s="1111"/>
      <c r="AZ3" s="1110" t="s">
        <v>2</v>
      </c>
      <c r="BA3" s="1111"/>
    </row>
    <row r="4" spans="1:53" s="365" customFormat="1" ht="14.25" thickBot="1" x14ac:dyDescent="0.3">
      <c r="A4" s="1117"/>
      <c r="B4" s="343" t="s">
        <v>335</v>
      </c>
      <c r="C4" s="345" t="s">
        <v>222</v>
      </c>
      <c r="D4" s="344" t="s">
        <v>335</v>
      </c>
      <c r="E4" s="345" t="s">
        <v>222</v>
      </c>
      <c r="F4" s="344" t="s">
        <v>335</v>
      </c>
      <c r="G4" s="345" t="s">
        <v>222</v>
      </c>
      <c r="H4" s="344" t="s">
        <v>335</v>
      </c>
      <c r="I4" s="345" t="s">
        <v>222</v>
      </c>
      <c r="J4" s="344" t="s">
        <v>335</v>
      </c>
      <c r="K4" s="345" t="s">
        <v>222</v>
      </c>
      <c r="L4" s="344" t="s">
        <v>335</v>
      </c>
      <c r="M4" s="345" t="s">
        <v>222</v>
      </c>
      <c r="N4" s="344" t="s">
        <v>335</v>
      </c>
      <c r="O4" s="345" t="s">
        <v>222</v>
      </c>
      <c r="P4" s="344" t="s">
        <v>335</v>
      </c>
      <c r="Q4" s="345" t="s">
        <v>222</v>
      </c>
      <c r="R4" s="344" t="s">
        <v>335</v>
      </c>
      <c r="S4" s="345" t="s">
        <v>222</v>
      </c>
      <c r="T4" s="344" t="s">
        <v>335</v>
      </c>
      <c r="U4" s="345" t="s">
        <v>222</v>
      </c>
      <c r="V4" s="344" t="s">
        <v>335</v>
      </c>
      <c r="W4" s="345" t="s">
        <v>222</v>
      </c>
      <c r="X4" s="344" t="s">
        <v>335</v>
      </c>
      <c r="Y4" s="345" t="s">
        <v>222</v>
      </c>
      <c r="Z4" s="344" t="s">
        <v>335</v>
      </c>
      <c r="AA4" s="345" t="s">
        <v>222</v>
      </c>
      <c r="AB4" s="343" t="s">
        <v>335</v>
      </c>
      <c r="AC4" s="345" t="s">
        <v>222</v>
      </c>
      <c r="AD4" s="344" t="s">
        <v>335</v>
      </c>
      <c r="AE4" s="345" t="s">
        <v>222</v>
      </c>
      <c r="AF4" s="344" t="s">
        <v>335</v>
      </c>
      <c r="AG4" s="345" t="s">
        <v>222</v>
      </c>
      <c r="AH4" s="344" t="s">
        <v>335</v>
      </c>
      <c r="AI4" s="345" t="s">
        <v>222</v>
      </c>
      <c r="AJ4" s="344" t="s">
        <v>335</v>
      </c>
      <c r="AK4" s="345" t="s">
        <v>222</v>
      </c>
      <c r="AL4" s="344" t="s">
        <v>335</v>
      </c>
      <c r="AM4" s="345" t="s">
        <v>222</v>
      </c>
      <c r="AN4" s="344" t="s">
        <v>335</v>
      </c>
      <c r="AO4" s="345" t="s">
        <v>222</v>
      </c>
      <c r="AP4" s="344" t="s">
        <v>335</v>
      </c>
      <c r="AQ4" s="345" t="s">
        <v>222</v>
      </c>
      <c r="AR4" s="344" t="s">
        <v>335</v>
      </c>
      <c r="AS4" s="345" t="s">
        <v>222</v>
      </c>
      <c r="AT4" s="344" t="s">
        <v>335</v>
      </c>
      <c r="AU4" s="345" t="s">
        <v>222</v>
      </c>
      <c r="AV4" s="344" t="s">
        <v>335</v>
      </c>
      <c r="AW4" s="345" t="s">
        <v>222</v>
      </c>
      <c r="AX4" s="344" t="s">
        <v>335</v>
      </c>
      <c r="AY4" s="345" t="s">
        <v>222</v>
      </c>
      <c r="AZ4" s="344" t="s">
        <v>335</v>
      </c>
      <c r="BA4" s="345" t="s">
        <v>222</v>
      </c>
    </row>
    <row r="5" spans="1:53" s="140" customFormat="1" ht="14.25" x14ac:dyDescent="0.25">
      <c r="A5" s="264" t="s">
        <v>59</v>
      </c>
      <c r="B5" s="154"/>
      <c r="C5" s="152"/>
      <c r="D5" s="154"/>
      <c r="E5" s="152"/>
      <c r="F5" s="154"/>
      <c r="G5" s="152"/>
      <c r="H5" s="154"/>
      <c r="I5" s="152"/>
      <c r="J5" s="154"/>
      <c r="K5" s="152"/>
      <c r="L5" s="154"/>
      <c r="M5" s="152"/>
      <c r="N5" s="154"/>
      <c r="O5" s="152"/>
      <c r="P5" s="151"/>
      <c r="Q5" s="152"/>
      <c r="R5" s="154"/>
      <c r="S5" s="152"/>
      <c r="T5" s="151"/>
      <c r="U5" s="152"/>
      <c r="V5" s="151"/>
      <c r="W5" s="155"/>
      <c r="X5" s="154"/>
      <c r="Y5" s="155"/>
      <c r="Z5" s="154"/>
      <c r="AA5" s="152"/>
      <c r="AB5" s="154"/>
      <c r="AC5" s="155"/>
      <c r="AD5" s="154"/>
      <c r="AE5" s="152"/>
      <c r="AF5" s="154"/>
      <c r="AG5" s="152"/>
      <c r="AH5" s="154"/>
      <c r="AI5" s="152"/>
      <c r="AJ5" s="154"/>
      <c r="AK5" s="152"/>
      <c r="AL5" s="154"/>
      <c r="AM5" s="152"/>
      <c r="AN5" s="154"/>
      <c r="AO5" s="152"/>
      <c r="AP5" s="154"/>
      <c r="AQ5" s="152"/>
      <c r="AR5" s="154"/>
      <c r="AS5" s="152"/>
      <c r="AT5" s="154"/>
      <c r="AU5" s="152"/>
      <c r="AV5" s="154"/>
      <c r="AW5" s="152"/>
      <c r="AX5" s="154"/>
      <c r="AY5" s="152"/>
      <c r="AZ5" s="154"/>
      <c r="BA5" s="156"/>
    </row>
    <row r="6" spans="1:53" s="140" customFormat="1" ht="14.25" x14ac:dyDescent="0.3">
      <c r="A6" s="158" t="s">
        <v>60</v>
      </c>
      <c r="B6" s="268">
        <v>23843</v>
      </c>
      <c r="C6" s="89">
        <v>21881.05</v>
      </c>
      <c r="D6" s="80">
        <v>135</v>
      </c>
      <c r="E6" s="81">
        <v>228.54</v>
      </c>
      <c r="F6" s="80">
        <v>1437</v>
      </c>
      <c r="G6" s="81">
        <v>1046</v>
      </c>
      <c r="H6" s="80">
        <v>34883</v>
      </c>
      <c r="I6" s="81">
        <v>23131</v>
      </c>
      <c r="J6" s="80">
        <v>6823</v>
      </c>
      <c r="K6" s="81">
        <v>6356.55</v>
      </c>
      <c r="L6" s="80">
        <v>14852</v>
      </c>
      <c r="M6" s="80">
        <v>11314</v>
      </c>
      <c r="N6" s="80">
        <v>975</v>
      </c>
      <c r="O6" s="81">
        <v>907.8</v>
      </c>
      <c r="P6" s="110">
        <v>4668</v>
      </c>
      <c r="Q6" s="81">
        <v>4670.18</v>
      </c>
      <c r="R6" s="80">
        <v>6691</v>
      </c>
      <c r="S6" s="81">
        <v>8638.59</v>
      </c>
      <c r="T6" s="110">
        <v>1592</v>
      </c>
      <c r="U6" s="81">
        <v>1281.47</v>
      </c>
      <c r="V6" s="110">
        <v>93926</v>
      </c>
      <c r="W6" s="91">
        <v>83164.84</v>
      </c>
      <c r="X6" s="80">
        <v>68323</v>
      </c>
      <c r="Y6" s="91">
        <v>56997.33</v>
      </c>
      <c r="Z6" s="648">
        <v>3463</v>
      </c>
      <c r="AA6" s="95">
        <v>2148.2199999999998</v>
      </c>
      <c r="AB6" s="80">
        <v>12830</v>
      </c>
      <c r="AC6" s="91">
        <v>7637.67</v>
      </c>
      <c r="AD6" s="80">
        <v>15363</v>
      </c>
      <c r="AE6" s="81">
        <v>14449.47</v>
      </c>
      <c r="AF6" s="80">
        <v>63429</v>
      </c>
      <c r="AG6" s="80">
        <v>51796.51</v>
      </c>
      <c r="AH6" s="80">
        <v>15903</v>
      </c>
      <c r="AI6" s="81">
        <v>12532.48</v>
      </c>
      <c r="AJ6" s="80">
        <v>5201</v>
      </c>
      <c r="AK6" s="81">
        <v>4408.24</v>
      </c>
      <c r="AL6" s="366"/>
      <c r="AM6" s="81"/>
      <c r="AN6" s="176">
        <v>73020</v>
      </c>
      <c r="AO6" s="175">
        <v>56533.85</v>
      </c>
      <c r="AP6" s="367">
        <v>5860</v>
      </c>
      <c r="AQ6" s="97">
        <v>5444.36</v>
      </c>
      <c r="AR6" s="98">
        <v>9869</v>
      </c>
      <c r="AS6" s="99">
        <v>6691.2</v>
      </c>
      <c r="AT6" s="80">
        <v>63835</v>
      </c>
      <c r="AU6" s="81">
        <v>48119.86</v>
      </c>
      <c r="AV6" s="101">
        <f t="shared" ref="AV6:AW14" si="0">SUM(B6+D6+F6+H6+J6+L6+N6+P6+R6+T6+V6+X6+Z6+AB6+AD6+AF6+AH6+AJ6+AL6+AN6+AP6+AR6+AT6)</f>
        <v>526921</v>
      </c>
      <c r="AW6" s="111">
        <f t="shared" si="0"/>
        <v>429379.2099999999</v>
      </c>
      <c r="AX6" s="98">
        <v>619281.69999999995</v>
      </c>
      <c r="AY6" s="99">
        <v>567646.35</v>
      </c>
      <c r="AZ6" s="101">
        <f t="shared" ref="AZ6:BA14" si="1">AV6+AX6</f>
        <v>1146202.7</v>
      </c>
      <c r="BA6" s="102">
        <f t="shared" si="1"/>
        <v>997025.55999999982</v>
      </c>
    </row>
    <row r="7" spans="1:53" s="140" customFormat="1" ht="14.25" x14ac:dyDescent="0.3">
      <c r="A7" s="158" t="s">
        <v>61</v>
      </c>
      <c r="B7" s="268">
        <v>12942</v>
      </c>
      <c r="C7" s="89">
        <v>10372.49</v>
      </c>
      <c r="D7" s="80">
        <v>104</v>
      </c>
      <c r="E7" s="81">
        <v>131.41999999999999</v>
      </c>
      <c r="F7" s="80">
        <v>543</v>
      </c>
      <c r="G7" s="81">
        <v>360</v>
      </c>
      <c r="H7" s="80">
        <v>7862</v>
      </c>
      <c r="I7" s="81">
        <v>6626.83</v>
      </c>
      <c r="J7" s="80">
        <v>3566</v>
      </c>
      <c r="K7" s="81">
        <v>3696.43</v>
      </c>
      <c r="L7" s="80">
        <v>6082</v>
      </c>
      <c r="M7" s="80">
        <v>5361.67</v>
      </c>
      <c r="N7" s="80">
        <v>752</v>
      </c>
      <c r="O7" s="81">
        <v>844.07</v>
      </c>
      <c r="P7" s="110">
        <v>1425</v>
      </c>
      <c r="Q7" s="81">
        <v>1245.03</v>
      </c>
      <c r="R7" s="80">
        <v>3873</v>
      </c>
      <c r="S7" s="81">
        <v>4156.6499999999996</v>
      </c>
      <c r="T7" s="110">
        <v>780</v>
      </c>
      <c r="U7" s="81">
        <v>611.33000000000004</v>
      </c>
      <c r="V7" s="110">
        <v>22113</v>
      </c>
      <c r="W7" s="91">
        <v>18492.740000000002</v>
      </c>
      <c r="X7" s="80">
        <v>28063</v>
      </c>
      <c r="Y7" s="91">
        <v>27395.11</v>
      </c>
      <c r="Z7" s="648">
        <v>1068</v>
      </c>
      <c r="AA7" s="95">
        <v>1359.25</v>
      </c>
      <c r="AB7" s="80">
        <v>3102</v>
      </c>
      <c r="AC7" s="91">
        <v>2652.18</v>
      </c>
      <c r="AD7" s="80">
        <v>12006</v>
      </c>
      <c r="AE7" s="81">
        <v>10361.34</v>
      </c>
      <c r="AF7" s="80">
        <v>22114</v>
      </c>
      <c r="AG7" s="80">
        <v>19777.72</v>
      </c>
      <c r="AH7" s="80">
        <v>8459</v>
      </c>
      <c r="AI7" s="81">
        <v>6960.77</v>
      </c>
      <c r="AJ7" s="80">
        <v>4679</v>
      </c>
      <c r="AK7" s="81">
        <v>5041.3599999999997</v>
      </c>
      <c r="AL7" s="366"/>
      <c r="AM7" s="81"/>
      <c r="AN7" s="176">
        <v>57192</v>
      </c>
      <c r="AO7" s="175">
        <v>51782.73</v>
      </c>
      <c r="AP7" s="367">
        <v>2507</v>
      </c>
      <c r="AQ7" s="97">
        <v>2140.6999999999998</v>
      </c>
      <c r="AR7" s="98">
        <v>5883</v>
      </c>
      <c r="AS7" s="99">
        <v>5073.3500000000004</v>
      </c>
      <c r="AT7" s="80">
        <v>13769</v>
      </c>
      <c r="AU7" s="81">
        <v>13237.31</v>
      </c>
      <c r="AV7" s="101">
        <f t="shared" si="0"/>
        <v>218884</v>
      </c>
      <c r="AW7" s="111">
        <f t="shared" si="0"/>
        <v>197680.48</v>
      </c>
      <c r="AX7" s="98">
        <v>821102.43</v>
      </c>
      <c r="AY7" s="99">
        <v>787997.05</v>
      </c>
      <c r="AZ7" s="101">
        <f t="shared" si="1"/>
        <v>1039986.43</v>
      </c>
      <c r="BA7" s="102">
        <f t="shared" si="1"/>
        <v>985677.53</v>
      </c>
    </row>
    <row r="8" spans="1:53" s="140" customFormat="1" ht="14.25" x14ac:dyDescent="0.3">
      <c r="A8" s="158" t="s">
        <v>62</v>
      </c>
      <c r="B8" s="268">
        <v>980</v>
      </c>
      <c r="C8" s="89">
        <v>473.31</v>
      </c>
      <c r="D8" s="80">
        <v>1</v>
      </c>
      <c r="E8" s="81">
        <v>0.82</v>
      </c>
      <c r="F8" s="80">
        <v>23</v>
      </c>
      <c r="G8" s="81"/>
      <c r="H8" s="80">
        <v>5619</v>
      </c>
      <c r="I8" s="81">
        <v>3014.32</v>
      </c>
      <c r="J8" s="80">
        <v>114</v>
      </c>
      <c r="K8" s="81">
        <v>133.07</v>
      </c>
      <c r="L8" s="80">
        <v>1287</v>
      </c>
      <c r="M8" s="80">
        <v>939.51</v>
      </c>
      <c r="N8" s="80">
        <v>426</v>
      </c>
      <c r="O8" s="81">
        <v>291.94</v>
      </c>
      <c r="P8" s="110">
        <v>62</v>
      </c>
      <c r="Q8" s="81">
        <v>22.75</v>
      </c>
      <c r="R8" s="80">
        <v>115</v>
      </c>
      <c r="S8" s="81">
        <v>31.36</v>
      </c>
      <c r="T8" s="110">
        <v>85</v>
      </c>
      <c r="U8" s="81">
        <v>194.66</v>
      </c>
      <c r="V8" s="110">
        <v>13636</v>
      </c>
      <c r="W8" s="91">
        <v>7950.64</v>
      </c>
      <c r="X8" s="80">
        <v>9958</v>
      </c>
      <c r="Y8" s="91">
        <v>5329.61</v>
      </c>
      <c r="Z8" s="648">
        <v>757</v>
      </c>
      <c r="AA8" s="95">
        <v>495.63</v>
      </c>
      <c r="AB8" s="80">
        <v>1165</v>
      </c>
      <c r="AC8" s="91">
        <v>573.87</v>
      </c>
      <c r="AD8" s="80">
        <v>4245</v>
      </c>
      <c r="AE8" s="81">
        <v>2604.02</v>
      </c>
      <c r="AF8" s="80">
        <v>3012</v>
      </c>
      <c r="AG8" s="80">
        <v>1623.73</v>
      </c>
      <c r="AH8" s="80">
        <v>1320</v>
      </c>
      <c r="AI8" s="81">
        <v>981.1</v>
      </c>
      <c r="AJ8" s="80">
        <v>25</v>
      </c>
      <c r="AK8" s="81">
        <v>21.88</v>
      </c>
      <c r="AL8" s="366"/>
      <c r="AM8" s="81"/>
      <c r="AN8" s="176">
        <v>10408</v>
      </c>
      <c r="AO8" s="175">
        <v>7382.01</v>
      </c>
      <c r="AP8" s="367">
        <v>399</v>
      </c>
      <c r="AQ8" s="97">
        <v>111.01</v>
      </c>
      <c r="AR8" s="98">
        <v>972</v>
      </c>
      <c r="AS8" s="99">
        <v>691.57</v>
      </c>
      <c r="AT8" s="80">
        <v>666</v>
      </c>
      <c r="AU8" s="81">
        <v>896.78</v>
      </c>
      <c r="AV8" s="101">
        <f t="shared" si="0"/>
        <v>55275</v>
      </c>
      <c r="AW8" s="111">
        <f t="shared" si="0"/>
        <v>33763.590000000004</v>
      </c>
      <c r="AX8" s="98">
        <v>32756.16</v>
      </c>
      <c r="AY8" s="99">
        <v>44890.09</v>
      </c>
      <c r="AZ8" s="101">
        <f t="shared" si="1"/>
        <v>88031.16</v>
      </c>
      <c r="BA8" s="102">
        <f t="shared" si="1"/>
        <v>78653.679999999993</v>
      </c>
    </row>
    <row r="9" spans="1:53" s="848" customFormat="1" ht="14.25" x14ac:dyDescent="0.3">
      <c r="A9" s="838" t="s">
        <v>54</v>
      </c>
      <c r="B9" s="839">
        <f t="shared" ref="B9:G9" si="2">SUM(B6:B8)</f>
        <v>37765</v>
      </c>
      <c r="C9" s="839">
        <f t="shared" si="2"/>
        <v>32726.850000000002</v>
      </c>
      <c r="D9" s="840">
        <f t="shared" si="2"/>
        <v>240</v>
      </c>
      <c r="E9" s="841">
        <f t="shared" si="2"/>
        <v>360.78</v>
      </c>
      <c r="F9" s="840">
        <f t="shared" si="2"/>
        <v>2003</v>
      </c>
      <c r="G9" s="841">
        <f t="shared" si="2"/>
        <v>1406</v>
      </c>
      <c r="H9" s="840">
        <f t="shared" ref="H9:O9" si="3">SUM(H6:H8)</f>
        <v>48364</v>
      </c>
      <c r="I9" s="842">
        <f t="shared" si="3"/>
        <v>32772.15</v>
      </c>
      <c r="J9" s="840">
        <f t="shared" si="3"/>
        <v>10503</v>
      </c>
      <c r="K9" s="842">
        <f t="shared" si="3"/>
        <v>10186.049999999999</v>
      </c>
      <c r="L9" s="840">
        <f t="shared" si="3"/>
        <v>22221</v>
      </c>
      <c r="M9" s="842">
        <f t="shared" si="3"/>
        <v>17615.179999999997</v>
      </c>
      <c r="N9" s="840">
        <f t="shared" si="3"/>
        <v>2153</v>
      </c>
      <c r="O9" s="841">
        <f t="shared" si="3"/>
        <v>2043.81</v>
      </c>
      <c r="P9" s="842">
        <f>SUM(P6:P8)</f>
        <v>6155</v>
      </c>
      <c r="Q9" s="841">
        <f>SUM(Q6:Q8)</f>
        <v>5937.96</v>
      </c>
      <c r="R9" s="840">
        <f>SUM(R6:R8)</f>
        <v>10679</v>
      </c>
      <c r="S9" s="841">
        <f>SUM(S6:S8)</f>
        <v>12826.6</v>
      </c>
      <c r="T9" s="842">
        <f t="shared" ref="T9:AA9" si="4">SUM(T6:T8)</f>
        <v>2457</v>
      </c>
      <c r="U9" s="841">
        <f t="shared" si="4"/>
        <v>2087.46</v>
      </c>
      <c r="V9" s="842">
        <f t="shared" si="4"/>
        <v>129675</v>
      </c>
      <c r="W9" s="838">
        <f t="shared" si="4"/>
        <v>109608.22</v>
      </c>
      <c r="X9" s="840">
        <f t="shared" si="4"/>
        <v>106344</v>
      </c>
      <c r="Y9" s="843">
        <f t="shared" si="4"/>
        <v>89722.05</v>
      </c>
      <c r="Z9" s="840">
        <f t="shared" si="4"/>
        <v>5288</v>
      </c>
      <c r="AA9" s="844">
        <f t="shared" si="4"/>
        <v>4003.1</v>
      </c>
      <c r="AB9" s="840">
        <f t="shared" ref="AB9:AL9" si="5">SUM(AB6:AB8)</f>
        <v>17097</v>
      </c>
      <c r="AC9" s="838">
        <f t="shared" si="5"/>
        <v>10863.720000000001</v>
      </c>
      <c r="AD9" s="840">
        <f t="shared" si="5"/>
        <v>31614</v>
      </c>
      <c r="AE9" s="841">
        <f t="shared" si="5"/>
        <v>27414.829999999998</v>
      </c>
      <c r="AF9" s="840">
        <f t="shared" si="5"/>
        <v>88555</v>
      </c>
      <c r="AG9" s="842">
        <f t="shared" si="5"/>
        <v>73197.960000000006</v>
      </c>
      <c r="AH9" s="840">
        <f t="shared" si="5"/>
        <v>25682</v>
      </c>
      <c r="AI9" s="841">
        <f t="shared" si="5"/>
        <v>20474.349999999999</v>
      </c>
      <c r="AJ9" s="840">
        <f t="shared" si="5"/>
        <v>9905</v>
      </c>
      <c r="AK9" s="842">
        <f t="shared" si="5"/>
        <v>9471.4799999999977</v>
      </c>
      <c r="AL9" s="840">
        <f t="shared" si="5"/>
        <v>0</v>
      </c>
      <c r="AM9" s="841">
        <f>AL9</f>
        <v>0</v>
      </c>
      <c r="AN9" s="840">
        <f t="shared" ref="AN9:AS9" si="6">SUM(AN6:AN8)</f>
        <v>140620</v>
      </c>
      <c r="AO9" s="842">
        <f t="shared" si="6"/>
        <v>115698.59</v>
      </c>
      <c r="AP9" s="840">
        <f t="shared" si="6"/>
        <v>8766</v>
      </c>
      <c r="AQ9" s="842">
        <f t="shared" si="6"/>
        <v>7696.07</v>
      </c>
      <c r="AR9" s="840">
        <f t="shared" si="6"/>
        <v>16724</v>
      </c>
      <c r="AS9" s="845">
        <f t="shared" si="6"/>
        <v>12456.119999999999</v>
      </c>
      <c r="AT9" s="840">
        <f>SUM(AT6:AT8)</f>
        <v>78270</v>
      </c>
      <c r="AU9" s="841">
        <f>SUM(AU6:AU8)</f>
        <v>62253.95</v>
      </c>
      <c r="AV9" s="840">
        <f t="shared" si="0"/>
        <v>801080</v>
      </c>
      <c r="AW9" s="842">
        <f t="shared" si="0"/>
        <v>660823.2799999998</v>
      </c>
      <c r="AX9" s="846">
        <f>SUM(AX6:AX8)</f>
        <v>1473140.2899999998</v>
      </c>
      <c r="AY9" s="846">
        <f>SUM(AY6:AY8)</f>
        <v>1400533.49</v>
      </c>
      <c r="AZ9" s="840">
        <f t="shared" si="1"/>
        <v>2274220.29</v>
      </c>
      <c r="BA9" s="847">
        <f t="shared" si="1"/>
        <v>2061356.7699999998</v>
      </c>
    </row>
    <row r="10" spans="1:53" s="140" customFormat="1" ht="14.25" x14ac:dyDescent="0.3">
      <c r="A10" s="158" t="s">
        <v>63</v>
      </c>
      <c r="B10" s="72"/>
      <c r="C10" s="89">
        <f>B10</f>
        <v>0</v>
      </c>
      <c r="D10" s="101"/>
      <c r="E10" s="81">
        <f>D10</f>
        <v>0</v>
      </c>
      <c r="F10" s="101"/>
      <c r="G10" s="81">
        <f>F10</f>
        <v>0</v>
      </c>
      <c r="H10" s="101"/>
      <c r="I10" s="81">
        <f>H10</f>
        <v>0</v>
      </c>
      <c r="J10" s="101"/>
      <c r="K10" s="81">
        <f>J10</f>
        <v>0</v>
      </c>
      <c r="L10" s="101"/>
      <c r="M10" s="81">
        <f>L10</f>
        <v>0</v>
      </c>
      <c r="N10" s="101"/>
      <c r="O10" s="81">
        <f>N10</f>
        <v>0</v>
      </c>
      <c r="P10" s="111"/>
      <c r="Q10" s="81">
        <f>P10</f>
        <v>0</v>
      </c>
      <c r="R10" s="101"/>
      <c r="S10" s="81">
        <f>R10</f>
        <v>0</v>
      </c>
      <c r="T10" s="111"/>
      <c r="U10" s="81">
        <f>T10</f>
        <v>0</v>
      </c>
      <c r="V10" s="111"/>
      <c r="W10" s="91">
        <f>V10</f>
        <v>0</v>
      </c>
      <c r="X10" s="101"/>
      <c r="Y10" s="91">
        <f>X10</f>
        <v>0</v>
      </c>
      <c r="Z10" s="648"/>
      <c r="AA10" s="95">
        <f>Z10</f>
        <v>0</v>
      </c>
      <c r="AB10" s="101"/>
      <c r="AC10" s="91">
        <f>AB10</f>
        <v>0</v>
      </c>
      <c r="AD10" s="647"/>
      <c r="AE10" s="81">
        <f>AD10</f>
        <v>0</v>
      </c>
      <c r="AF10" s="101"/>
      <c r="AG10" s="81">
        <f>AF10</f>
        <v>0</v>
      </c>
      <c r="AH10" s="101"/>
      <c r="AI10" s="81">
        <f>AH10</f>
        <v>0</v>
      </c>
      <c r="AJ10" s="101"/>
      <c r="AK10" s="81">
        <f>AJ10</f>
        <v>0</v>
      </c>
      <c r="AL10" s="366"/>
      <c r="AM10" s="81">
        <f>AL10</f>
        <v>0</v>
      </c>
      <c r="AN10" s="80"/>
      <c r="AO10" s="175">
        <f>AN10</f>
        <v>0</v>
      </c>
      <c r="AP10" s="367"/>
      <c r="AQ10" s="97">
        <f>AP10</f>
        <v>0</v>
      </c>
      <c r="AR10" s="98"/>
      <c r="AS10" s="99">
        <f>AR10</f>
        <v>0</v>
      </c>
      <c r="AT10" s="101"/>
      <c r="AU10" s="81">
        <f>AT10</f>
        <v>0</v>
      </c>
      <c r="AV10" s="101">
        <f t="shared" si="0"/>
        <v>0</v>
      </c>
      <c r="AW10" s="111">
        <f t="shared" si="0"/>
        <v>0</v>
      </c>
      <c r="AX10" s="101"/>
      <c r="AY10" s="99">
        <f>AX10</f>
        <v>0</v>
      </c>
      <c r="AZ10" s="101">
        <f t="shared" si="1"/>
        <v>0</v>
      </c>
      <c r="BA10" s="102">
        <f t="shared" si="1"/>
        <v>0</v>
      </c>
    </row>
    <row r="11" spans="1:53" s="140" customFormat="1" ht="14.25" x14ac:dyDescent="0.3">
      <c r="A11" s="158" t="s">
        <v>64</v>
      </c>
      <c r="B11" s="268"/>
      <c r="C11" s="89">
        <f>B11</f>
        <v>0</v>
      </c>
      <c r="D11" s="80"/>
      <c r="E11" s="81">
        <f>D11</f>
        <v>0</v>
      </c>
      <c r="F11" s="80"/>
      <c r="G11" s="81">
        <f>F11</f>
        <v>0</v>
      </c>
      <c r="H11" s="80">
        <v>2</v>
      </c>
      <c r="I11" s="81">
        <v>1</v>
      </c>
      <c r="J11" s="80"/>
      <c r="K11" s="81">
        <f>J11</f>
        <v>0</v>
      </c>
      <c r="L11" s="80"/>
      <c r="M11" s="81">
        <f>L11</f>
        <v>0</v>
      </c>
      <c r="N11" s="80"/>
      <c r="O11" s="81">
        <f>N11</f>
        <v>0</v>
      </c>
      <c r="P11" s="110"/>
      <c r="Q11" s="81">
        <f>P11</f>
        <v>0</v>
      </c>
      <c r="R11" s="80"/>
      <c r="S11" s="81">
        <f>R11</f>
        <v>0</v>
      </c>
      <c r="T11" s="110"/>
      <c r="U11" s="81">
        <f>T11</f>
        <v>0</v>
      </c>
      <c r="V11" s="110"/>
      <c r="W11" s="91">
        <f>V11</f>
        <v>0</v>
      </c>
      <c r="X11" s="80"/>
      <c r="Y11" s="91">
        <f>X11</f>
        <v>0</v>
      </c>
      <c r="Z11" s="80"/>
      <c r="AA11" s="95">
        <f>Z11</f>
        <v>0</v>
      </c>
      <c r="AB11" s="80"/>
      <c r="AC11" s="91">
        <f>AB11</f>
        <v>0</v>
      </c>
      <c r="AD11" s="80"/>
      <c r="AE11" s="81">
        <f>AD11</f>
        <v>0</v>
      </c>
      <c r="AF11" s="80"/>
      <c r="AG11" s="81">
        <f>AF11</f>
        <v>0</v>
      </c>
      <c r="AH11" s="80"/>
      <c r="AI11" s="81">
        <f>AH11</f>
        <v>0</v>
      </c>
      <c r="AJ11" s="80"/>
      <c r="AK11" s="81">
        <f>AJ11</f>
        <v>0</v>
      </c>
      <c r="AL11" s="366"/>
      <c r="AM11" s="81">
        <f>AL11</f>
        <v>0</v>
      </c>
      <c r="AN11" s="80"/>
      <c r="AO11" s="175">
        <f>AN11</f>
        <v>0</v>
      </c>
      <c r="AP11" s="367"/>
      <c r="AQ11" s="97">
        <f>AP11</f>
        <v>0</v>
      </c>
      <c r="AR11" s="98"/>
      <c r="AS11" s="99">
        <f>AR11</f>
        <v>0</v>
      </c>
      <c r="AT11" s="80">
        <v>21</v>
      </c>
      <c r="AU11" s="81">
        <v>21.06</v>
      </c>
      <c r="AV11" s="101">
        <f t="shared" si="0"/>
        <v>23</v>
      </c>
      <c r="AW11" s="111">
        <f t="shared" si="0"/>
        <v>22.06</v>
      </c>
      <c r="AX11" s="98"/>
      <c r="AY11" s="99">
        <v>15.65</v>
      </c>
      <c r="AZ11" s="101">
        <f t="shared" si="1"/>
        <v>23</v>
      </c>
      <c r="BA11" s="102">
        <f t="shared" si="1"/>
        <v>37.71</v>
      </c>
    </row>
    <row r="12" spans="1:53" s="371" customFormat="1" ht="14.25" x14ac:dyDescent="0.3">
      <c r="A12" s="159" t="s">
        <v>65</v>
      </c>
      <c r="B12" s="72">
        <f t="shared" ref="B12:G12" si="7">B9</f>
        <v>37765</v>
      </c>
      <c r="C12" s="72">
        <f t="shared" si="7"/>
        <v>32726.850000000002</v>
      </c>
      <c r="D12" s="72">
        <f t="shared" si="7"/>
        <v>240</v>
      </c>
      <c r="E12" s="105">
        <f t="shared" si="7"/>
        <v>360.78</v>
      </c>
      <c r="F12" s="72">
        <f t="shared" si="7"/>
        <v>2003</v>
      </c>
      <c r="G12" s="105">
        <f t="shared" si="7"/>
        <v>1406</v>
      </c>
      <c r="H12" s="72">
        <f>H9+H11</f>
        <v>48366</v>
      </c>
      <c r="I12" s="105">
        <f>I9-I11</f>
        <v>32771.15</v>
      </c>
      <c r="J12" s="72">
        <f t="shared" ref="J12:W12" si="8">J9</f>
        <v>10503</v>
      </c>
      <c r="K12" s="72">
        <f t="shared" si="8"/>
        <v>10186.049999999999</v>
      </c>
      <c r="L12" s="72">
        <f t="shared" si="8"/>
        <v>22221</v>
      </c>
      <c r="M12" s="72">
        <f t="shared" si="8"/>
        <v>17615.179999999997</v>
      </c>
      <c r="N12" s="72">
        <f t="shared" si="8"/>
        <v>2153</v>
      </c>
      <c r="O12" s="72">
        <f t="shared" si="8"/>
        <v>2043.81</v>
      </c>
      <c r="P12" s="104">
        <f t="shared" si="8"/>
        <v>6155</v>
      </c>
      <c r="Q12" s="105">
        <f t="shared" si="8"/>
        <v>5937.96</v>
      </c>
      <c r="R12" s="72">
        <f t="shared" si="8"/>
        <v>10679</v>
      </c>
      <c r="S12" s="72">
        <f t="shared" si="8"/>
        <v>12826.6</v>
      </c>
      <c r="T12" s="104">
        <f t="shared" si="8"/>
        <v>2457</v>
      </c>
      <c r="U12" s="105">
        <f t="shared" si="8"/>
        <v>2087.46</v>
      </c>
      <c r="V12" s="72">
        <f t="shared" si="8"/>
        <v>129675</v>
      </c>
      <c r="W12" s="72">
        <f t="shared" si="8"/>
        <v>109608.22</v>
      </c>
      <c r="X12" s="72">
        <f t="shared" ref="X12:AE12" si="9">X9</f>
        <v>106344</v>
      </c>
      <c r="Y12" s="106">
        <f t="shared" si="9"/>
        <v>89722.05</v>
      </c>
      <c r="Z12" s="72">
        <f t="shared" si="9"/>
        <v>5288</v>
      </c>
      <c r="AA12" s="582">
        <f t="shared" si="9"/>
        <v>4003.1</v>
      </c>
      <c r="AB12" s="72">
        <f t="shared" si="9"/>
        <v>17097</v>
      </c>
      <c r="AC12" s="106">
        <f t="shared" si="9"/>
        <v>10863.720000000001</v>
      </c>
      <c r="AD12" s="72">
        <f t="shared" si="9"/>
        <v>31614</v>
      </c>
      <c r="AE12" s="105">
        <f t="shared" si="9"/>
        <v>27414.829999999998</v>
      </c>
      <c r="AF12" s="101">
        <f t="shared" ref="AF12:AL12" si="10">AF9</f>
        <v>88555</v>
      </c>
      <c r="AG12" s="101">
        <f t="shared" si="10"/>
        <v>73197.960000000006</v>
      </c>
      <c r="AH12" s="101">
        <f t="shared" si="10"/>
        <v>25682</v>
      </c>
      <c r="AI12" s="105">
        <f t="shared" si="10"/>
        <v>20474.349999999999</v>
      </c>
      <c r="AJ12" s="101">
        <f t="shared" si="10"/>
        <v>9905</v>
      </c>
      <c r="AK12" s="101">
        <f t="shared" si="10"/>
        <v>9471.4799999999977</v>
      </c>
      <c r="AL12" s="101">
        <f t="shared" si="10"/>
        <v>0</v>
      </c>
      <c r="AM12" s="105">
        <f ca="1">AM12</f>
        <v>0</v>
      </c>
      <c r="AN12" s="369">
        <f t="shared" ref="AN12:AS12" si="11">AN9</f>
        <v>140620</v>
      </c>
      <c r="AO12" s="162">
        <f t="shared" si="11"/>
        <v>115698.59</v>
      </c>
      <c r="AP12" s="369">
        <f t="shared" si="11"/>
        <v>8766</v>
      </c>
      <c r="AQ12" s="162">
        <f t="shared" si="11"/>
        <v>7696.07</v>
      </c>
      <c r="AR12" s="369">
        <f t="shared" si="11"/>
        <v>16724</v>
      </c>
      <c r="AS12" s="583">
        <f t="shared" si="11"/>
        <v>12456.119999999999</v>
      </c>
      <c r="AT12" s="369">
        <f>AT9-AT11</f>
        <v>78249</v>
      </c>
      <c r="AU12" s="369">
        <f>AU9-AU11</f>
        <v>62232.89</v>
      </c>
      <c r="AV12" s="101">
        <f t="shared" si="0"/>
        <v>801061</v>
      </c>
      <c r="AW12" s="111">
        <f t="shared" ca="1" si="0"/>
        <v>0</v>
      </c>
      <c r="AX12" s="370">
        <f>AX9</f>
        <v>1473140.2899999998</v>
      </c>
      <c r="AY12" s="370">
        <f>AY9-AY11</f>
        <v>1400517.84</v>
      </c>
      <c r="AZ12" s="101">
        <f t="shared" si="1"/>
        <v>2274201.29</v>
      </c>
      <c r="BA12" s="102">
        <f t="shared" ca="1" si="1"/>
        <v>0</v>
      </c>
    </row>
    <row r="13" spans="1:53" s="371" customFormat="1" ht="14.25" x14ac:dyDescent="0.3">
      <c r="A13" s="159" t="s">
        <v>218</v>
      </c>
      <c r="B13" s="72">
        <v>2063</v>
      </c>
      <c r="C13" s="104">
        <v>2649.63</v>
      </c>
      <c r="D13" s="72"/>
      <c r="E13" s="105"/>
      <c r="F13" s="72">
        <v>73</v>
      </c>
      <c r="G13" s="105">
        <v>78</v>
      </c>
      <c r="H13" s="72">
        <v>2769</v>
      </c>
      <c r="I13" s="105">
        <v>2230</v>
      </c>
      <c r="J13" s="72">
        <v>1018</v>
      </c>
      <c r="K13" s="104">
        <v>966.75</v>
      </c>
      <c r="L13" s="72"/>
      <c r="M13" s="105"/>
      <c r="N13" s="72">
        <v>59</v>
      </c>
      <c r="O13" s="105">
        <v>14.46</v>
      </c>
      <c r="P13" s="104">
        <v>434</v>
      </c>
      <c r="Q13" s="105">
        <v>695.51</v>
      </c>
      <c r="R13" s="72">
        <v>1318</v>
      </c>
      <c r="S13" s="105">
        <v>1097.52</v>
      </c>
      <c r="T13" s="104">
        <v>13</v>
      </c>
      <c r="U13" s="105">
        <v>28.9</v>
      </c>
      <c r="V13" s="104">
        <v>2280</v>
      </c>
      <c r="W13" s="106">
        <v>1679.52</v>
      </c>
      <c r="X13" s="72">
        <v>5303</v>
      </c>
      <c r="Y13" s="106">
        <v>4541.96</v>
      </c>
      <c r="Z13" s="72">
        <v>31</v>
      </c>
      <c r="AA13" s="582"/>
      <c r="AB13" s="72"/>
      <c r="AC13" s="106">
        <v>0.8</v>
      </c>
      <c r="AD13" s="72">
        <v>1186</v>
      </c>
      <c r="AE13" s="105">
        <v>1359.43</v>
      </c>
      <c r="AF13" s="101">
        <v>2239</v>
      </c>
      <c r="AG13" s="101">
        <v>2167.77</v>
      </c>
      <c r="AH13" s="101">
        <v>507</v>
      </c>
      <c r="AI13" s="105">
        <v>312.62</v>
      </c>
      <c r="AJ13" s="101">
        <v>496</v>
      </c>
      <c r="AK13" s="111">
        <v>345.22</v>
      </c>
      <c r="AL13" s="101"/>
      <c r="AM13" s="105"/>
      <c r="AN13" s="369">
        <v>4686</v>
      </c>
      <c r="AO13" s="162">
        <v>3223.07</v>
      </c>
      <c r="AP13" s="369">
        <v>232</v>
      </c>
      <c r="AQ13" s="162">
        <v>305.06</v>
      </c>
      <c r="AR13" s="369"/>
      <c r="AS13" s="583"/>
      <c r="AT13" s="369">
        <v>4496</v>
      </c>
      <c r="AU13" s="696">
        <v>4222.2299999999996</v>
      </c>
      <c r="AV13" s="101">
        <f t="shared" si="0"/>
        <v>29203</v>
      </c>
      <c r="AW13" s="111">
        <f t="shared" si="0"/>
        <v>25918.45</v>
      </c>
      <c r="AX13" s="370">
        <v>69749.27</v>
      </c>
      <c r="AY13" s="697">
        <v>68869.78</v>
      </c>
      <c r="AZ13" s="101">
        <f t="shared" si="1"/>
        <v>98952.27</v>
      </c>
      <c r="BA13" s="102">
        <f t="shared" si="1"/>
        <v>94788.23</v>
      </c>
    </row>
    <row r="14" spans="1:53" s="848" customFormat="1" ht="14.25" x14ac:dyDescent="0.3">
      <c r="A14" s="838" t="s">
        <v>219</v>
      </c>
      <c r="B14" s="839">
        <f>B12+B13</f>
        <v>39828</v>
      </c>
      <c r="C14" s="839">
        <f>C12+C13</f>
        <v>35376.480000000003</v>
      </c>
      <c r="D14" s="839">
        <f t="shared" ref="D14:J14" si="12">D12+D13</f>
        <v>240</v>
      </c>
      <c r="E14" s="839">
        <f t="shared" si="12"/>
        <v>360.78</v>
      </c>
      <c r="F14" s="839">
        <f t="shared" si="12"/>
        <v>2076</v>
      </c>
      <c r="G14" s="839">
        <f t="shared" si="12"/>
        <v>1484</v>
      </c>
      <c r="H14" s="839">
        <f t="shared" si="12"/>
        <v>51135</v>
      </c>
      <c r="I14" s="839">
        <f t="shared" si="12"/>
        <v>35001.15</v>
      </c>
      <c r="J14" s="839">
        <f t="shared" si="12"/>
        <v>11521</v>
      </c>
      <c r="K14" s="839">
        <f t="shared" ref="K14:AU14" si="13">K12+K13</f>
        <v>11152.8</v>
      </c>
      <c r="L14" s="839">
        <f t="shared" si="13"/>
        <v>22221</v>
      </c>
      <c r="M14" s="839">
        <f t="shared" si="13"/>
        <v>17615.179999999997</v>
      </c>
      <c r="N14" s="839">
        <f t="shared" si="13"/>
        <v>2212</v>
      </c>
      <c r="O14" s="839">
        <f t="shared" si="13"/>
        <v>2058.27</v>
      </c>
      <c r="P14" s="839">
        <f t="shared" si="13"/>
        <v>6589</v>
      </c>
      <c r="Q14" s="839">
        <f t="shared" si="13"/>
        <v>6633.47</v>
      </c>
      <c r="R14" s="839">
        <f t="shared" si="13"/>
        <v>11997</v>
      </c>
      <c r="S14" s="839">
        <f t="shared" si="13"/>
        <v>13924.12</v>
      </c>
      <c r="T14" s="839">
        <f t="shared" si="13"/>
        <v>2470</v>
      </c>
      <c r="U14" s="839">
        <f t="shared" si="13"/>
        <v>2116.36</v>
      </c>
      <c r="V14" s="839">
        <f t="shared" si="13"/>
        <v>131955</v>
      </c>
      <c r="W14" s="839">
        <f t="shared" si="13"/>
        <v>111287.74</v>
      </c>
      <c r="X14" s="839">
        <f t="shared" si="13"/>
        <v>111647</v>
      </c>
      <c r="Y14" s="839">
        <f t="shared" si="13"/>
        <v>94264.010000000009</v>
      </c>
      <c r="Z14" s="839">
        <f t="shared" si="13"/>
        <v>5319</v>
      </c>
      <c r="AA14" s="839">
        <f t="shared" si="13"/>
        <v>4003.1</v>
      </c>
      <c r="AB14" s="839">
        <f t="shared" si="13"/>
        <v>17097</v>
      </c>
      <c r="AC14" s="839">
        <f t="shared" si="13"/>
        <v>10864.52</v>
      </c>
      <c r="AD14" s="839">
        <f t="shared" si="13"/>
        <v>32800</v>
      </c>
      <c r="AE14" s="839">
        <f t="shared" si="13"/>
        <v>28774.26</v>
      </c>
      <c r="AF14" s="839">
        <f t="shared" si="13"/>
        <v>90794</v>
      </c>
      <c r="AG14" s="839">
        <f t="shared" si="13"/>
        <v>75365.73000000001</v>
      </c>
      <c r="AH14" s="839">
        <f t="shared" si="13"/>
        <v>26189</v>
      </c>
      <c r="AI14" s="839">
        <f t="shared" si="13"/>
        <v>20786.969999999998</v>
      </c>
      <c r="AJ14" s="839">
        <f t="shared" si="13"/>
        <v>10401</v>
      </c>
      <c r="AK14" s="839">
        <f t="shared" si="13"/>
        <v>9816.6999999999971</v>
      </c>
      <c r="AL14" s="839">
        <f t="shared" si="13"/>
        <v>0</v>
      </c>
      <c r="AM14" s="839">
        <f t="shared" ca="1" si="13"/>
        <v>0</v>
      </c>
      <c r="AN14" s="839">
        <f t="shared" si="13"/>
        <v>145306</v>
      </c>
      <c r="AO14" s="839">
        <f t="shared" si="13"/>
        <v>118921.66</v>
      </c>
      <c r="AP14" s="839">
        <f t="shared" si="13"/>
        <v>8998</v>
      </c>
      <c r="AQ14" s="839">
        <f t="shared" si="13"/>
        <v>8001.13</v>
      </c>
      <c r="AR14" s="839">
        <f t="shared" si="13"/>
        <v>16724</v>
      </c>
      <c r="AS14" s="839">
        <f t="shared" si="13"/>
        <v>12456.119999999999</v>
      </c>
      <c r="AT14" s="839">
        <f t="shared" si="13"/>
        <v>82745</v>
      </c>
      <c r="AU14" s="839">
        <f t="shared" si="13"/>
        <v>66455.12</v>
      </c>
      <c r="AV14" s="840">
        <f t="shared" si="0"/>
        <v>830264</v>
      </c>
      <c r="AW14" s="842">
        <f t="shared" ca="1" si="0"/>
        <v>0</v>
      </c>
      <c r="AX14" s="846">
        <f>AX12+AX13</f>
        <v>1542889.5599999998</v>
      </c>
      <c r="AY14" s="846">
        <f>AY12+AY13</f>
        <v>1469387.62</v>
      </c>
      <c r="AZ14" s="840">
        <f t="shared" si="1"/>
        <v>2373153.5599999996</v>
      </c>
      <c r="BA14" s="847">
        <f t="shared" ca="1" si="1"/>
        <v>0</v>
      </c>
    </row>
    <row r="15" spans="1:53" s="140" customFormat="1" ht="14.25" x14ac:dyDescent="0.3">
      <c r="A15" s="159" t="s">
        <v>66</v>
      </c>
      <c r="B15" s="268"/>
      <c r="C15" s="89">
        <f>B15</f>
        <v>0</v>
      </c>
      <c r="D15" s="80"/>
      <c r="E15" s="81">
        <f>D15</f>
        <v>0</v>
      </c>
      <c r="F15" s="80"/>
      <c r="G15" s="81"/>
      <c r="H15" s="80"/>
      <c r="I15" s="81"/>
      <c r="J15" s="80"/>
      <c r="K15" s="81">
        <f>J15</f>
        <v>0</v>
      </c>
      <c r="L15" s="80"/>
      <c r="M15" s="81">
        <f>L15</f>
        <v>0</v>
      </c>
      <c r="N15" s="80"/>
      <c r="O15" s="81">
        <f>N15</f>
        <v>0</v>
      </c>
      <c r="P15" s="110"/>
      <c r="Q15" s="81">
        <f>P15</f>
        <v>0</v>
      </c>
      <c r="R15" s="80"/>
      <c r="S15" s="81">
        <f>R15</f>
        <v>0</v>
      </c>
      <c r="T15" s="110"/>
      <c r="U15" s="81">
        <f>T15</f>
        <v>0</v>
      </c>
      <c r="V15" s="110"/>
      <c r="W15" s="91">
        <f>V15</f>
        <v>0</v>
      </c>
      <c r="X15" s="80"/>
      <c r="Y15" s="91">
        <f>X15</f>
        <v>0</v>
      </c>
      <c r="Z15" s="80"/>
      <c r="AA15" s="95">
        <f>Z15</f>
        <v>0</v>
      </c>
      <c r="AB15" s="80"/>
      <c r="AC15" s="91">
        <f>AB15</f>
        <v>0</v>
      </c>
      <c r="AD15" s="80"/>
      <c r="AE15" s="81">
        <f>AD15</f>
        <v>0</v>
      </c>
      <c r="AF15" s="80"/>
      <c r="AG15" s="81">
        <f>AF15</f>
        <v>0</v>
      </c>
      <c r="AH15" s="80"/>
      <c r="AI15" s="81">
        <f>AH15</f>
        <v>0</v>
      </c>
      <c r="AJ15" s="80"/>
      <c r="AK15" s="81">
        <f>AJ15</f>
        <v>0</v>
      </c>
      <c r="AL15" s="366"/>
      <c r="AM15" s="81">
        <f t="shared" ref="AM15:AM27" si="14">AL15</f>
        <v>0</v>
      </c>
      <c r="AN15" s="80"/>
      <c r="AO15" s="175">
        <f>AN15</f>
        <v>0</v>
      </c>
      <c r="AP15" s="367"/>
      <c r="AQ15" s="97">
        <f>AP15</f>
        <v>0</v>
      </c>
      <c r="AR15" s="98"/>
      <c r="AS15" s="99">
        <f>AR15</f>
        <v>0</v>
      </c>
      <c r="AT15" s="80"/>
      <c r="AU15" s="81"/>
      <c r="AV15" s="101">
        <f t="shared" ref="AV15:AV25" si="15">SUM(B15+D15+F15+H15+J15+L15+N15+P15+R15+T15+V15+X15+Z15+AB15+AD15+AF15+AH15+AJ15+AL15+AN15+AP15+AR15+AT15)</f>
        <v>0</v>
      </c>
      <c r="AW15" s="111">
        <f t="shared" ref="AW15:AW25" si="16">SUM(C15+E15+G15+I15+K15+M15+O15+Q15+S15+U15+W15+Y15+AA15+AC15+AE15+AG15+AI15+AK15+AM15+AO15+AQ15+AS15+AU15)</f>
        <v>0</v>
      </c>
      <c r="AX15" s="98"/>
      <c r="AY15" s="99">
        <f>AX15</f>
        <v>0</v>
      </c>
      <c r="AZ15" s="101">
        <f t="shared" ref="AZ15:AZ25" si="17">AV15+AX15</f>
        <v>0</v>
      </c>
      <c r="BA15" s="102">
        <f t="shared" ref="BA15:BA25" si="18">AW15+AY15</f>
        <v>0</v>
      </c>
    </row>
    <row r="16" spans="1:53" s="140" customFormat="1" ht="14.25" x14ac:dyDescent="0.3">
      <c r="A16" s="159" t="s">
        <v>67</v>
      </c>
      <c r="B16" s="268"/>
      <c r="C16" s="89">
        <f>B16</f>
        <v>0</v>
      </c>
      <c r="D16" s="80"/>
      <c r="E16" s="81">
        <f>D16</f>
        <v>0</v>
      </c>
      <c r="F16" s="80"/>
      <c r="G16" s="81"/>
      <c r="H16" s="80"/>
      <c r="I16" s="81">
        <f>H16</f>
        <v>0</v>
      </c>
      <c r="J16" s="80"/>
      <c r="K16" s="81">
        <f>J16</f>
        <v>0</v>
      </c>
      <c r="L16" s="80"/>
      <c r="M16" s="81">
        <f>L16</f>
        <v>0</v>
      </c>
      <c r="N16" s="80"/>
      <c r="O16" s="81">
        <f>N16</f>
        <v>0</v>
      </c>
      <c r="P16" s="110"/>
      <c r="Q16" s="81">
        <f>P16</f>
        <v>0</v>
      </c>
      <c r="R16" s="80"/>
      <c r="S16" s="81">
        <f>R16</f>
        <v>0</v>
      </c>
      <c r="T16" s="110"/>
      <c r="U16" s="81">
        <f>T16</f>
        <v>0</v>
      </c>
      <c r="V16" s="110"/>
      <c r="W16" s="91">
        <f>V16</f>
        <v>0</v>
      </c>
      <c r="X16" s="80"/>
      <c r="Y16" s="91">
        <f>X16</f>
        <v>0</v>
      </c>
      <c r="Z16" s="80"/>
      <c r="AA16" s="95">
        <f>Z16</f>
        <v>0</v>
      </c>
      <c r="AB16" s="80"/>
      <c r="AC16" s="91">
        <f>AB16</f>
        <v>0</v>
      </c>
      <c r="AD16" s="80"/>
      <c r="AE16" s="81">
        <f>AD16</f>
        <v>0</v>
      </c>
      <c r="AF16" s="80"/>
      <c r="AG16" s="81">
        <f>AF16</f>
        <v>0</v>
      </c>
      <c r="AH16" s="80"/>
      <c r="AI16" s="81">
        <f>AH16</f>
        <v>0</v>
      </c>
      <c r="AJ16" s="80"/>
      <c r="AK16" s="81">
        <f>AJ16</f>
        <v>0</v>
      </c>
      <c r="AL16" s="366"/>
      <c r="AM16" s="81">
        <f t="shared" si="14"/>
        <v>0</v>
      </c>
      <c r="AN16" s="80"/>
      <c r="AO16" s="175">
        <f>AN16</f>
        <v>0</v>
      </c>
      <c r="AP16" s="367"/>
      <c r="AQ16" s="97">
        <f>AP16</f>
        <v>0</v>
      </c>
      <c r="AR16" s="98"/>
      <c r="AS16" s="99">
        <f>AR16</f>
        <v>0</v>
      </c>
      <c r="AT16" s="80"/>
      <c r="AU16" s="81"/>
      <c r="AV16" s="101">
        <f t="shared" si="15"/>
        <v>0</v>
      </c>
      <c r="AW16" s="111">
        <f t="shared" si="16"/>
        <v>0</v>
      </c>
      <c r="AX16" s="98"/>
      <c r="AY16" s="99">
        <f>AX16</f>
        <v>0</v>
      </c>
      <c r="AZ16" s="101">
        <f t="shared" si="17"/>
        <v>0</v>
      </c>
      <c r="BA16" s="102">
        <f t="shared" si="18"/>
        <v>0</v>
      </c>
    </row>
    <row r="17" spans="1:53" s="140" customFormat="1" ht="14.25" x14ac:dyDescent="0.3">
      <c r="A17" s="158" t="s">
        <v>68</v>
      </c>
      <c r="B17" s="72">
        <v>13611</v>
      </c>
      <c r="C17" s="89">
        <v>13607</v>
      </c>
      <c r="D17" s="101">
        <v>4</v>
      </c>
      <c r="E17" s="81">
        <v>15.27</v>
      </c>
      <c r="F17" s="101">
        <v>647</v>
      </c>
      <c r="G17" s="81">
        <v>677</v>
      </c>
      <c r="H17" s="101">
        <v>22265</v>
      </c>
      <c r="I17" s="81">
        <v>18940</v>
      </c>
      <c r="J17" s="101">
        <v>3437</v>
      </c>
      <c r="K17" s="81">
        <v>5092.07</v>
      </c>
      <c r="L17" s="101">
        <v>93</v>
      </c>
      <c r="M17" s="101">
        <v>50</v>
      </c>
      <c r="N17" s="101">
        <v>1307</v>
      </c>
      <c r="O17" s="81">
        <v>1414</v>
      </c>
      <c r="P17" s="111">
        <v>4016</v>
      </c>
      <c r="Q17" s="81">
        <v>4377.8</v>
      </c>
      <c r="R17" s="101">
        <v>6553</v>
      </c>
      <c r="S17" s="81">
        <v>9374.9599999999991</v>
      </c>
      <c r="T17" s="111">
        <v>655</v>
      </c>
      <c r="U17" s="81">
        <v>581.36</v>
      </c>
      <c r="V17" s="111">
        <v>24105</v>
      </c>
      <c r="W17" s="91">
        <v>19117</v>
      </c>
      <c r="X17" s="101">
        <v>35957</v>
      </c>
      <c r="Y17" s="91">
        <v>27161.67</v>
      </c>
      <c r="Z17" s="648">
        <v>121</v>
      </c>
      <c r="AA17" s="95">
        <v>310.32</v>
      </c>
      <c r="AB17" s="101">
        <v>991</v>
      </c>
      <c r="AC17" s="91">
        <v>401.01</v>
      </c>
      <c r="AD17" s="647">
        <v>12591</v>
      </c>
      <c r="AE17" s="81">
        <v>12944</v>
      </c>
      <c r="AF17" s="101">
        <v>19234</v>
      </c>
      <c r="AG17" s="101">
        <v>16292</v>
      </c>
      <c r="AH17" s="101">
        <v>2368</v>
      </c>
      <c r="AI17" s="81">
        <v>1926.92</v>
      </c>
      <c r="AJ17" s="101">
        <v>8069</v>
      </c>
      <c r="AK17" s="81">
        <v>7422.98</v>
      </c>
      <c r="AL17" s="366"/>
      <c r="AM17" s="81">
        <f t="shared" si="14"/>
        <v>0</v>
      </c>
      <c r="AN17" s="176">
        <v>49296</v>
      </c>
      <c r="AO17" s="175">
        <v>38210.44</v>
      </c>
      <c r="AP17" s="367">
        <v>1115</v>
      </c>
      <c r="AQ17" s="97">
        <v>1060.47</v>
      </c>
      <c r="AR17" s="98">
        <v>16</v>
      </c>
      <c r="AS17" s="99">
        <v>23.19</v>
      </c>
      <c r="AT17" s="101">
        <v>29506</v>
      </c>
      <c r="AU17" s="81">
        <v>23564</v>
      </c>
      <c r="AV17" s="101">
        <f t="shared" si="15"/>
        <v>235957</v>
      </c>
      <c r="AW17" s="111">
        <f t="shared" si="16"/>
        <v>202563.46000000002</v>
      </c>
      <c r="AX17" s="101">
        <v>1529560.56</v>
      </c>
      <c r="AY17" s="99">
        <v>1456453.53</v>
      </c>
      <c r="AZ17" s="101">
        <f t="shared" si="17"/>
        <v>1765517.56</v>
      </c>
      <c r="BA17" s="102">
        <f t="shared" si="18"/>
        <v>1659016.99</v>
      </c>
    </row>
    <row r="18" spans="1:53" s="140" customFormat="1" ht="14.25" x14ac:dyDescent="0.3">
      <c r="A18" s="158" t="s">
        <v>6</v>
      </c>
      <c r="B18" s="268">
        <v>1770</v>
      </c>
      <c r="C18" s="89">
        <v>1232.27</v>
      </c>
      <c r="D18" s="80">
        <v>86</v>
      </c>
      <c r="E18" s="81">
        <v>163.80000000000001</v>
      </c>
      <c r="F18" s="80">
        <v>275</v>
      </c>
      <c r="G18" s="81">
        <v>81</v>
      </c>
      <c r="H18" s="80">
        <v>25645</v>
      </c>
      <c r="I18" s="81">
        <v>13789</v>
      </c>
      <c r="J18" s="80">
        <v>4734</v>
      </c>
      <c r="K18" s="81">
        <v>3667.71</v>
      </c>
      <c r="L18" s="80">
        <v>211</v>
      </c>
      <c r="M18" s="80">
        <v>106</v>
      </c>
      <c r="N18" s="80">
        <v>129</v>
      </c>
      <c r="O18" s="81">
        <v>49.34</v>
      </c>
      <c r="P18" s="110">
        <v>476</v>
      </c>
      <c r="Q18" s="81">
        <v>755.69</v>
      </c>
      <c r="R18" s="80">
        <v>4301</v>
      </c>
      <c r="S18" s="81">
        <v>3290.95</v>
      </c>
      <c r="T18" s="110">
        <v>493</v>
      </c>
      <c r="U18" s="81">
        <v>322</v>
      </c>
      <c r="V18" s="110">
        <v>11852</v>
      </c>
      <c r="W18" s="91">
        <v>8678</v>
      </c>
      <c r="X18" s="80"/>
      <c r="Y18" s="91">
        <v>6223.76</v>
      </c>
      <c r="Z18" s="648">
        <v>59</v>
      </c>
      <c r="AA18" s="95">
        <v>23.93</v>
      </c>
      <c r="AB18" s="80">
        <v>598</v>
      </c>
      <c r="AC18" s="91">
        <v>155.52000000000001</v>
      </c>
      <c r="AD18" s="80">
        <v>1828</v>
      </c>
      <c r="AE18" s="81">
        <v>1711</v>
      </c>
      <c r="AF18" s="80">
        <v>871</v>
      </c>
      <c r="AG18" s="80">
        <v>554</v>
      </c>
      <c r="AH18" s="80">
        <v>1402</v>
      </c>
      <c r="AI18" s="81">
        <v>1411</v>
      </c>
      <c r="AJ18" s="80">
        <v>973</v>
      </c>
      <c r="AK18" s="81">
        <v>1134.56</v>
      </c>
      <c r="AL18" s="366"/>
      <c r="AM18" s="81">
        <f t="shared" si="14"/>
        <v>0</v>
      </c>
      <c r="AN18" s="176">
        <v>507</v>
      </c>
      <c r="AO18" s="175">
        <v>334.15</v>
      </c>
      <c r="AP18" s="367">
        <v>1339</v>
      </c>
      <c r="AQ18" s="97">
        <v>1191.08</v>
      </c>
      <c r="AR18" s="98">
        <v>20</v>
      </c>
      <c r="AS18" s="99">
        <v>13.8</v>
      </c>
      <c r="AT18" s="80">
        <v>9371</v>
      </c>
      <c r="AU18" s="81">
        <v>4572</v>
      </c>
      <c r="AV18" s="101">
        <f t="shared" si="15"/>
        <v>66940</v>
      </c>
      <c r="AW18" s="111">
        <f t="shared" si="16"/>
        <v>49460.56</v>
      </c>
      <c r="AX18" s="80">
        <v>206.2</v>
      </c>
      <c r="AY18" s="99">
        <v>201.09</v>
      </c>
      <c r="AZ18" s="101">
        <f t="shared" si="17"/>
        <v>67146.2</v>
      </c>
      <c r="BA18" s="102">
        <f t="shared" si="18"/>
        <v>49661.649999999994</v>
      </c>
    </row>
    <row r="19" spans="1:53" s="140" customFormat="1" ht="14.25" x14ac:dyDescent="0.3">
      <c r="A19" s="158" t="s">
        <v>69</v>
      </c>
      <c r="B19" s="268">
        <v>22370</v>
      </c>
      <c r="C19" s="89">
        <v>17876</v>
      </c>
      <c r="D19" s="80">
        <v>41</v>
      </c>
      <c r="E19" s="81">
        <v>111.63</v>
      </c>
      <c r="F19" s="80">
        <v>1036</v>
      </c>
      <c r="G19" s="81">
        <v>596</v>
      </c>
      <c r="H19" s="80">
        <v>2021</v>
      </c>
      <c r="I19" s="81">
        <v>1292</v>
      </c>
      <c r="J19" s="80">
        <v>3347</v>
      </c>
      <c r="K19" s="81">
        <v>2393.02</v>
      </c>
      <c r="L19" s="80">
        <v>21598</v>
      </c>
      <c r="M19" s="80">
        <v>16958</v>
      </c>
      <c r="N19" s="80">
        <v>749</v>
      </c>
      <c r="O19" s="81">
        <v>578.04999999999995</v>
      </c>
      <c r="P19" s="110">
        <v>2096</v>
      </c>
      <c r="Q19" s="81">
        <v>1496.71</v>
      </c>
      <c r="R19" s="80">
        <v>307</v>
      </c>
      <c r="S19" s="81">
        <v>317.57</v>
      </c>
      <c r="T19" s="110">
        <v>1322</v>
      </c>
      <c r="U19" s="81">
        <v>1212.77</v>
      </c>
      <c r="V19" s="110">
        <v>10501</v>
      </c>
      <c r="W19" s="91">
        <v>7149</v>
      </c>
      <c r="X19" s="80">
        <v>65214</v>
      </c>
      <c r="Y19" s="91">
        <v>54693.69</v>
      </c>
      <c r="Z19" s="648">
        <v>5102</v>
      </c>
      <c r="AA19" s="95">
        <v>3668.85</v>
      </c>
      <c r="AB19" s="80">
        <v>15428</v>
      </c>
      <c r="AC19" s="91">
        <v>10243.700000000001</v>
      </c>
      <c r="AD19" s="80">
        <v>17305</v>
      </c>
      <c r="AE19" s="81">
        <v>13629</v>
      </c>
      <c r="AF19" s="80">
        <v>818</v>
      </c>
      <c r="AG19" s="80">
        <v>889</v>
      </c>
      <c r="AH19" s="80">
        <v>20923</v>
      </c>
      <c r="AI19" s="81">
        <v>16737.91</v>
      </c>
      <c r="AJ19" s="80">
        <v>1358</v>
      </c>
      <c r="AK19" s="81">
        <v>1256.46</v>
      </c>
      <c r="AL19" s="366"/>
      <c r="AM19" s="81">
        <f t="shared" si="14"/>
        <v>0</v>
      </c>
      <c r="AN19" s="176">
        <v>4492</v>
      </c>
      <c r="AO19" s="175">
        <v>3207.33</v>
      </c>
      <c r="AP19" s="367">
        <v>55</v>
      </c>
      <c r="AQ19" s="97">
        <v>79</v>
      </c>
      <c r="AR19" s="98"/>
      <c r="AS19" s="99"/>
      <c r="AT19" s="80">
        <v>828</v>
      </c>
      <c r="AU19" s="81">
        <v>701</v>
      </c>
      <c r="AV19" s="101">
        <f t="shared" si="15"/>
        <v>196911</v>
      </c>
      <c r="AW19" s="111">
        <f t="shared" si="16"/>
        <v>155086.68999999997</v>
      </c>
      <c r="AX19" s="80">
        <v>1095.94</v>
      </c>
      <c r="AY19" s="99">
        <v>1062.98</v>
      </c>
      <c r="AZ19" s="101">
        <f t="shared" si="17"/>
        <v>198006.94</v>
      </c>
      <c r="BA19" s="102">
        <f t="shared" si="18"/>
        <v>156149.66999999998</v>
      </c>
    </row>
    <row r="20" spans="1:53" s="140" customFormat="1" ht="14.25" x14ac:dyDescent="0.3">
      <c r="A20" s="158" t="s">
        <v>70</v>
      </c>
      <c r="B20" s="268"/>
      <c r="C20" s="89"/>
      <c r="D20" s="80"/>
      <c r="E20" s="81"/>
      <c r="F20" s="80">
        <v>3</v>
      </c>
      <c r="G20" s="81"/>
      <c r="H20" s="80"/>
      <c r="I20" s="81"/>
      <c r="J20" s="80"/>
      <c r="K20" s="81"/>
      <c r="L20" s="80"/>
      <c r="M20" s="80"/>
      <c r="N20" s="80"/>
      <c r="O20" s="81"/>
      <c r="P20" s="110"/>
      <c r="Q20" s="81"/>
      <c r="R20" s="80">
        <v>30</v>
      </c>
      <c r="S20" s="81">
        <v>32.67</v>
      </c>
      <c r="T20" s="110"/>
      <c r="U20" s="81"/>
      <c r="V20" s="110">
        <v>84049</v>
      </c>
      <c r="W20" s="91">
        <v>75156</v>
      </c>
      <c r="X20" s="80">
        <v>9112</v>
      </c>
      <c r="Y20" s="91"/>
      <c r="Z20" s="648"/>
      <c r="AA20" s="95"/>
      <c r="AB20" s="80"/>
      <c r="AC20" s="91"/>
      <c r="AD20" s="80"/>
      <c r="AE20" s="81"/>
      <c r="AF20" s="80">
        <v>66537</v>
      </c>
      <c r="AG20" s="80">
        <v>55400</v>
      </c>
      <c r="AH20" s="80"/>
      <c r="AI20" s="81"/>
      <c r="AJ20" s="80"/>
      <c r="AK20" s="81"/>
      <c r="AL20" s="366"/>
      <c r="AM20" s="81">
        <f t="shared" si="14"/>
        <v>0</v>
      </c>
      <c r="AN20" s="176">
        <v>90980</v>
      </c>
      <c r="AO20" s="175">
        <v>73918.45</v>
      </c>
      <c r="AP20" s="367">
        <v>6488</v>
      </c>
      <c r="AQ20" s="97">
        <v>5658</v>
      </c>
      <c r="AR20" s="98">
        <v>16688</v>
      </c>
      <c r="AS20" s="99">
        <v>12420</v>
      </c>
      <c r="AT20" s="80">
        <v>41006</v>
      </c>
      <c r="AU20" s="81">
        <v>34808.36</v>
      </c>
      <c r="AV20" s="101">
        <f t="shared" si="15"/>
        <v>314893</v>
      </c>
      <c r="AW20" s="111">
        <f t="shared" si="16"/>
        <v>257393.47999999998</v>
      </c>
      <c r="AX20" s="80">
        <v>10850.2</v>
      </c>
      <c r="AY20" s="99">
        <v>11214.51</v>
      </c>
      <c r="AZ20" s="101">
        <f t="shared" si="17"/>
        <v>325743.2</v>
      </c>
      <c r="BA20" s="102">
        <f t="shared" si="18"/>
        <v>268607.99</v>
      </c>
    </row>
    <row r="21" spans="1:53" s="140" customFormat="1" ht="14.25" x14ac:dyDescent="0.3">
      <c r="A21" s="158" t="s">
        <v>71</v>
      </c>
      <c r="B21" s="268"/>
      <c r="C21" s="89"/>
      <c r="D21" s="80"/>
      <c r="E21" s="81"/>
      <c r="F21" s="80">
        <v>115</v>
      </c>
      <c r="G21" s="81"/>
      <c r="H21" s="80">
        <v>817</v>
      </c>
      <c r="I21" s="81">
        <v>318.36</v>
      </c>
      <c r="J21" s="80"/>
      <c r="K21" s="81"/>
      <c r="L21" s="80"/>
      <c r="M21" s="81"/>
      <c r="N21" s="80">
        <v>27</v>
      </c>
      <c r="O21" s="81">
        <v>17.41</v>
      </c>
      <c r="P21" s="110"/>
      <c r="Q21" s="81"/>
      <c r="R21" s="80">
        <v>705</v>
      </c>
      <c r="S21" s="81">
        <v>556.64</v>
      </c>
      <c r="T21" s="110"/>
      <c r="U21" s="81"/>
      <c r="V21" s="110">
        <v>287</v>
      </c>
      <c r="W21" s="91">
        <v>100.16</v>
      </c>
      <c r="X21" s="80">
        <v>94</v>
      </c>
      <c r="Y21" s="91">
        <v>20.329999999999998</v>
      </c>
      <c r="Z21" s="648"/>
      <c r="AA21" s="95"/>
      <c r="AB21" s="80"/>
      <c r="AC21" s="91"/>
      <c r="AD21" s="80">
        <v>956</v>
      </c>
      <c r="AE21" s="81">
        <v>475</v>
      </c>
      <c r="AF21" s="80"/>
      <c r="AG21" s="81"/>
      <c r="AH21" s="80"/>
      <c r="AI21" s="81"/>
      <c r="AJ21" s="80"/>
      <c r="AK21" s="81"/>
      <c r="AL21" s="366"/>
      <c r="AM21" s="81">
        <f t="shared" si="14"/>
        <v>0</v>
      </c>
      <c r="AN21" s="80"/>
      <c r="AO21" s="175"/>
      <c r="AP21" s="367"/>
      <c r="AQ21" s="97"/>
      <c r="AR21" s="98"/>
      <c r="AS21" s="99"/>
      <c r="AT21" s="80">
        <v>22</v>
      </c>
      <c r="AU21" s="81">
        <v>20</v>
      </c>
      <c r="AV21" s="101">
        <f t="shared" si="15"/>
        <v>3023</v>
      </c>
      <c r="AW21" s="111">
        <f t="shared" si="16"/>
        <v>1507.9</v>
      </c>
      <c r="AX21" s="80"/>
      <c r="AY21" s="99"/>
      <c r="AZ21" s="101">
        <f t="shared" si="17"/>
        <v>3023</v>
      </c>
      <c r="BA21" s="102">
        <f t="shared" si="18"/>
        <v>1507.9</v>
      </c>
    </row>
    <row r="22" spans="1:53" s="140" customFormat="1" ht="14.25" x14ac:dyDescent="0.3">
      <c r="A22" s="158" t="s">
        <v>15</v>
      </c>
      <c r="B22" s="72"/>
      <c r="C22" s="89"/>
      <c r="D22" s="101"/>
      <c r="E22" s="81"/>
      <c r="F22" s="101"/>
      <c r="G22" s="81"/>
      <c r="H22" s="101"/>
      <c r="I22" s="81"/>
      <c r="J22" s="101"/>
      <c r="K22" s="81"/>
      <c r="L22" s="101"/>
      <c r="M22" s="81"/>
      <c r="N22" s="101"/>
      <c r="O22" s="81"/>
      <c r="P22" s="111"/>
      <c r="Q22" s="81"/>
      <c r="R22" s="101"/>
      <c r="S22" s="81"/>
      <c r="T22" s="111"/>
      <c r="U22" s="81"/>
      <c r="V22" s="111"/>
      <c r="W22" s="91"/>
      <c r="X22" s="101"/>
      <c r="Y22" s="91"/>
      <c r="Z22" s="648"/>
      <c r="AA22" s="95"/>
      <c r="AB22" s="101">
        <v>81</v>
      </c>
      <c r="AC22" s="91">
        <v>64.11</v>
      </c>
      <c r="AD22" s="647"/>
      <c r="AE22" s="81"/>
      <c r="AF22" s="101"/>
      <c r="AG22" s="81"/>
      <c r="AH22" s="101"/>
      <c r="AI22" s="81"/>
      <c r="AJ22" s="101"/>
      <c r="AK22" s="105"/>
      <c r="AL22" s="366"/>
      <c r="AM22" s="81">
        <f t="shared" si="14"/>
        <v>0</v>
      </c>
      <c r="AN22" s="176"/>
      <c r="AO22" s="175"/>
      <c r="AP22" s="367"/>
      <c r="AQ22" s="97"/>
      <c r="AR22" s="98"/>
      <c r="AS22" s="99"/>
      <c r="AT22" s="101"/>
      <c r="AU22" s="81"/>
      <c r="AV22" s="101">
        <f t="shared" si="15"/>
        <v>81</v>
      </c>
      <c r="AW22" s="111">
        <f t="shared" si="16"/>
        <v>64.11</v>
      </c>
      <c r="AX22" s="101"/>
      <c r="AY22" s="99"/>
      <c r="AZ22" s="101">
        <f t="shared" si="17"/>
        <v>81</v>
      </c>
      <c r="BA22" s="102">
        <f t="shared" si="18"/>
        <v>64.11</v>
      </c>
    </row>
    <row r="23" spans="1:53" s="140" customFormat="1" ht="14.25" x14ac:dyDescent="0.3">
      <c r="A23" s="158" t="s">
        <v>17</v>
      </c>
      <c r="B23" s="268"/>
      <c r="C23" s="89"/>
      <c r="D23" s="80"/>
      <c r="E23" s="81"/>
      <c r="F23" s="80"/>
      <c r="G23" s="81">
        <v>128</v>
      </c>
      <c r="H23" s="80"/>
      <c r="I23" s="81"/>
      <c r="J23" s="80"/>
      <c r="K23" s="81"/>
      <c r="L23" s="80"/>
      <c r="M23" s="81"/>
      <c r="N23" s="80"/>
      <c r="O23" s="81"/>
      <c r="P23" s="110"/>
      <c r="Q23" s="81"/>
      <c r="R23" s="80"/>
      <c r="S23" s="81">
        <v>0.2</v>
      </c>
      <c r="T23" s="110"/>
      <c r="U23" s="81"/>
      <c r="V23" s="110">
        <v>88</v>
      </c>
      <c r="W23" s="91">
        <v>51.81</v>
      </c>
      <c r="X23" s="80">
        <v>372</v>
      </c>
      <c r="Y23" s="91">
        <v>168.07</v>
      </c>
      <c r="Z23" s="648"/>
      <c r="AA23" s="95"/>
      <c r="AB23" s="80"/>
      <c r="AC23" s="91"/>
      <c r="AD23" s="80"/>
      <c r="AE23" s="81">
        <v>1</v>
      </c>
      <c r="AF23" s="80">
        <v>602</v>
      </c>
      <c r="AG23" s="81">
        <v>309</v>
      </c>
      <c r="AH23" s="80">
        <v>954</v>
      </c>
      <c r="AI23" s="81">
        <v>414</v>
      </c>
      <c r="AJ23" s="80"/>
      <c r="AK23" s="81"/>
      <c r="AL23" s="366"/>
      <c r="AM23" s="81">
        <f t="shared" si="14"/>
        <v>0</v>
      </c>
      <c r="AN23" s="176">
        <v>3</v>
      </c>
      <c r="AO23" s="175">
        <v>4.93</v>
      </c>
      <c r="AP23" s="367"/>
      <c r="AQ23" s="97"/>
      <c r="AR23" s="98"/>
      <c r="AS23" s="99"/>
      <c r="AT23" s="80"/>
      <c r="AU23" s="81"/>
      <c r="AV23" s="101">
        <f t="shared" si="15"/>
        <v>2019</v>
      </c>
      <c r="AW23" s="111">
        <f t="shared" si="16"/>
        <v>1077.01</v>
      </c>
      <c r="AX23" s="98">
        <v>1176.6600000000001</v>
      </c>
      <c r="AY23" s="99">
        <v>471.16</v>
      </c>
      <c r="AZ23" s="101">
        <f t="shared" si="17"/>
        <v>3195.66</v>
      </c>
      <c r="BA23" s="102">
        <f t="shared" si="18"/>
        <v>1548.17</v>
      </c>
    </row>
    <row r="24" spans="1:53" s="140" customFormat="1" ht="14.25" x14ac:dyDescent="0.3">
      <c r="A24" s="158" t="s">
        <v>72</v>
      </c>
      <c r="B24" s="268">
        <v>15</v>
      </c>
      <c r="C24" s="89">
        <v>11</v>
      </c>
      <c r="D24" s="80">
        <v>109</v>
      </c>
      <c r="E24" s="81">
        <v>70.08</v>
      </c>
      <c r="F24" s="80"/>
      <c r="G24" s="81"/>
      <c r="H24" s="80"/>
      <c r="I24" s="81"/>
      <c r="J24" s="80">
        <v>3</v>
      </c>
      <c r="K24" s="81"/>
      <c r="L24" s="80">
        <v>79</v>
      </c>
      <c r="M24" s="81">
        <v>130.77000000000001</v>
      </c>
      <c r="N24" s="80"/>
      <c r="O24" s="81"/>
      <c r="P24" s="110">
        <v>1</v>
      </c>
      <c r="Q24" s="81">
        <v>3.27</v>
      </c>
      <c r="R24" s="80"/>
      <c r="S24" s="81"/>
      <c r="T24" s="110"/>
      <c r="U24" s="81"/>
      <c r="V24" s="110">
        <v>708</v>
      </c>
      <c r="W24" s="91">
        <v>309</v>
      </c>
      <c r="X24" s="80">
        <v>898</v>
      </c>
      <c r="Y24" s="91">
        <v>1454.64</v>
      </c>
      <c r="Z24" s="648"/>
      <c r="AA24" s="95"/>
      <c r="AB24" s="80">
        <v>0.17</v>
      </c>
      <c r="AC24" s="91">
        <v>0.17</v>
      </c>
      <c r="AD24" s="80">
        <v>1</v>
      </c>
      <c r="AE24" s="81">
        <v>2</v>
      </c>
      <c r="AF24" s="80">
        <v>2733</v>
      </c>
      <c r="AG24" s="81">
        <v>1921</v>
      </c>
      <c r="AH24" s="80">
        <v>542</v>
      </c>
      <c r="AI24" s="81">
        <v>298</v>
      </c>
      <c r="AJ24" s="80">
        <v>1</v>
      </c>
      <c r="AK24" s="81">
        <v>3</v>
      </c>
      <c r="AL24" s="366"/>
      <c r="AM24" s="81">
        <f t="shared" si="14"/>
        <v>0</v>
      </c>
      <c r="AN24" s="176">
        <v>11</v>
      </c>
      <c r="AO24" s="175">
        <v>23.29</v>
      </c>
      <c r="AP24" s="367">
        <v>-0.42</v>
      </c>
      <c r="AQ24" s="97">
        <v>12.64</v>
      </c>
      <c r="AR24" s="98"/>
      <c r="AS24" s="99"/>
      <c r="AT24" s="80">
        <v>2034</v>
      </c>
      <c r="AU24" s="81">
        <v>2811</v>
      </c>
      <c r="AV24" s="101">
        <f t="shared" si="15"/>
        <v>7134.75</v>
      </c>
      <c r="AW24" s="111">
        <f t="shared" si="16"/>
        <v>7049.8600000000006</v>
      </c>
      <c r="AX24" s="98"/>
      <c r="AY24" s="99"/>
      <c r="AZ24" s="101">
        <f t="shared" si="17"/>
        <v>7134.75</v>
      </c>
      <c r="BA24" s="102">
        <f t="shared" si="18"/>
        <v>7049.8600000000006</v>
      </c>
    </row>
    <row r="25" spans="1:53" s="140" customFormat="1" ht="14.25" x14ac:dyDescent="0.3">
      <c r="A25" s="158" t="s">
        <v>73</v>
      </c>
      <c r="B25" s="373"/>
      <c r="C25" s="89"/>
      <c r="D25" s="124"/>
      <c r="E25" s="81"/>
      <c r="F25" s="124"/>
      <c r="G25" s="81">
        <v>1</v>
      </c>
      <c r="H25" s="124"/>
      <c r="I25" s="81"/>
      <c r="J25" s="124"/>
      <c r="K25" s="81"/>
      <c r="L25" s="124"/>
      <c r="M25" s="81"/>
      <c r="N25" s="124"/>
      <c r="O25" s="81"/>
      <c r="P25" s="121"/>
      <c r="Q25" s="81"/>
      <c r="R25" s="124"/>
      <c r="S25" s="81"/>
      <c r="T25" s="121"/>
      <c r="U25" s="81"/>
      <c r="V25" s="121"/>
      <c r="W25" s="91"/>
      <c r="X25" s="124"/>
      <c r="Y25" s="91"/>
      <c r="Z25" s="649"/>
      <c r="AA25" s="95"/>
      <c r="AB25" s="124"/>
      <c r="AC25" s="91"/>
      <c r="AD25" s="124"/>
      <c r="AE25" s="81">
        <v>3</v>
      </c>
      <c r="AF25" s="124"/>
      <c r="AG25" s="81"/>
      <c r="AH25" s="124"/>
      <c r="AI25" s="81"/>
      <c r="AJ25" s="124"/>
      <c r="AK25" s="122"/>
      <c r="AL25" s="374"/>
      <c r="AM25" s="81">
        <f t="shared" si="14"/>
        <v>0</v>
      </c>
      <c r="AN25" s="375"/>
      <c r="AO25" s="175"/>
      <c r="AP25" s="378"/>
      <c r="AQ25" s="97"/>
      <c r="AR25" s="127"/>
      <c r="AS25" s="99"/>
      <c r="AT25" s="124"/>
      <c r="AU25" s="81"/>
      <c r="AV25" s="101">
        <f t="shared" si="15"/>
        <v>0</v>
      </c>
      <c r="AW25" s="111">
        <f t="shared" si="16"/>
        <v>4</v>
      </c>
      <c r="AX25" s="127"/>
      <c r="AY25" s="99"/>
      <c r="AZ25" s="101">
        <f t="shared" si="17"/>
        <v>0</v>
      </c>
      <c r="BA25" s="102">
        <f t="shared" si="18"/>
        <v>4</v>
      </c>
    </row>
    <row r="26" spans="1:53" s="140" customFormat="1" ht="14.25" x14ac:dyDescent="0.3">
      <c r="A26" s="377" t="s">
        <v>16</v>
      </c>
      <c r="B26" s="373"/>
      <c r="C26" s="89"/>
      <c r="D26" s="124"/>
      <c r="E26" s="81"/>
      <c r="F26" s="124"/>
      <c r="G26" s="81"/>
      <c r="H26" s="124">
        <v>385</v>
      </c>
      <c r="I26" s="81">
        <v>663</v>
      </c>
      <c r="J26" s="124"/>
      <c r="K26" s="81"/>
      <c r="L26" s="124">
        <v>240</v>
      </c>
      <c r="M26" s="81">
        <v>370</v>
      </c>
      <c r="N26" s="124"/>
      <c r="O26" s="81"/>
      <c r="P26" s="121"/>
      <c r="Q26" s="81"/>
      <c r="R26" s="124">
        <v>100</v>
      </c>
      <c r="S26" s="81">
        <v>351.13</v>
      </c>
      <c r="T26" s="121"/>
      <c r="U26" s="81"/>
      <c r="V26" s="121">
        <v>364</v>
      </c>
      <c r="W26" s="91">
        <v>726</v>
      </c>
      <c r="X26" s="124"/>
      <c r="Y26" s="91"/>
      <c r="Z26" s="649"/>
      <c r="AA26" s="95"/>
      <c r="AB26" s="124"/>
      <c r="AC26" s="91"/>
      <c r="AD26" s="124">
        <v>119</v>
      </c>
      <c r="AE26" s="81">
        <v>9</v>
      </c>
      <c r="AF26" s="124"/>
      <c r="AG26" s="81"/>
      <c r="AH26" s="124"/>
      <c r="AI26" s="81"/>
      <c r="AJ26" s="124"/>
      <c r="AK26" s="122"/>
      <c r="AL26" s="374"/>
      <c r="AM26" s="81">
        <f t="shared" si="14"/>
        <v>0</v>
      </c>
      <c r="AN26" s="375">
        <v>15</v>
      </c>
      <c r="AO26" s="376"/>
      <c r="AP26" s="378"/>
      <c r="AQ26" s="126"/>
      <c r="AR26" s="127"/>
      <c r="AS26" s="128"/>
      <c r="AT26" s="124"/>
      <c r="AU26" s="122"/>
      <c r="AV26" s="129"/>
      <c r="AW26" s="130"/>
      <c r="AX26" s="127"/>
      <c r="AY26" s="99"/>
      <c r="AZ26" s="129"/>
      <c r="BA26" s="380"/>
    </row>
    <row r="27" spans="1:53" s="140" customFormat="1" ht="15" thickBot="1" x14ac:dyDescent="0.35">
      <c r="A27" s="377" t="s">
        <v>74</v>
      </c>
      <c r="B27" s="373"/>
      <c r="C27" s="89"/>
      <c r="D27" s="124"/>
      <c r="E27" s="81"/>
      <c r="F27" s="124"/>
      <c r="G27" s="81"/>
      <c r="H27" s="124"/>
      <c r="I27" s="81"/>
      <c r="J27" s="124"/>
      <c r="K27" s="81"/>
      <c r="L27" s="124"/>
      <c r="M27" s="81"/>
      <c r="N27" s="124"/>
      <c r="O27" s="81"/>
      <c r="P27" s="121"/>
      <c r="Q27" s="81"/>
      <c r="R27" s="124"/>
      <c r="S27" s="81"/>
      <c r="T27" s="121"/>
      <c r="U27" s="81"/>
      <c r="V27" s="121"/>
      <c r="W27" s="91"/>
      <c r="X27" s="124"/>
      <c r="Y27" s="91"/>
      <c r="Z27" s="649">
        <v>6</v>
      </c>
      <c r="AA27" s="95"/>
      <c r="AB27" s="124"/>
      <c r="AC27" s="91"/>
      <c r="AD27" s="124"/>
      <c r="AE27" s="81"/>
      <c r="AF27" s="124"/>
      <c r="AG27" s="81"/>
      <c r="AH27" s="124"/>
      <c r="AI27" s="81"/>
      <c r="AJ27" s="124"/>
      <c r="AK27" s="122"/>
      <c r="AL27" s="374"/>
      <c r="AM27" s="81">
        <f t="shared" si="14"/>
        <v>0</v>
      </c>
      <c r="AN27" s="375"/>
      <c r="AO27" s="376"/>
      <c r="AP27" s="378"/>
      <c r="AQ27" s="126"/>
      <c r="AR27" s="127"/>
      <c r="AS27" s="128"/>
      <c r="AT27" s="124"/>
      <c r="AU27" s="122"/>
      <c r="AV27" s="129">
        <f>SUM(B27+D27+F27+H27+J27+L27+N27+P27+R27+T27+V27+X27+Z27+AB27+AD27+AF27+AH27+AJ27+AL27+AN27+AP27+AR27+AT27)</f>
        <v>6</v>
      </c>
      <c r="AW27" s="130">
        <v>4</v>
      </c>
      <c r="AX27" s="127"/>
      <c r="AY27" s="99"/>
      <c r="AZ27" s="129">
        <f>AV27+AX27</f>
        <v>6</v>
      </c>
      <c r="BA27" s="380">
        <f>AW27+AY27</f>
        <v>4</v>
      </c>
    </row>
    <row r="28" spans="1:53" s="379" customFormat="1" ht="15" thickBot="1" x14ac:dyDescent="0.35">
      <c r="A28" s="390" t="s">
        <v>54</v>
      </c>
      <c r="B28" s="381">
        <f t="shared" ref="B28:G28" si="19">SUM(B17:B25)</f>
        <v>37766</v>
      </c>
      <c r="C28" s="381">
        <f t="shared" si="19"/>
        <v>32726.27</v>
      </c>
      <c r="D28" s="381">
        <f t="shared" si="19"/>
        <v>240</v>
      </c>
      <c r="E28" s="381">
        <f t="shared" si="19"/>
        <v>360.78000000000003</v>
      </c>
      <c r="F28" s="381">
        <f t="shared" si="19"/>
        <v>2076</v>
      </c>
      <c r="G28" s="381">
        <f t="shared" si="19"/>
        <v>1483</v>
      </c>
      <c r="H28" s="381">
        <f>SUM(H17:H27)</f>
        <v>51133</v>
      </c>
      <c r="I28" s="381">
        <f>SUM(I17:I27)</f>
        <v>35002.36</v>
      </c>
      <c r="J28" s="381">
        <f t="shared" ref="J28:AN28" si="20">SUM(J17:J27)</f>
        <v>11521</v>
      </c>
      <c r="K28" s="381">
        <f t="shared" si="20"/>
        <v>11152.8</v>
      </c>
      <c r="L28" s="381">
        <f t="shared" si="20"/>
        <v>22221</v>
      </c>
      <c r="M28" s="381">
        <f t="shared" si="20"/>
        <v>17614.77</v>
      </c>
      <c r="N28" s="381">
        <f t="shared" si="20"/>
        <v>2212</v>
      </c>
      <c r="O28" s="381">
        <f t="shared" si="20"/>
        <v>2058.7999999999997</v>
      </c>
      <c r="P28" s="383">
        <f t="shared" si="20"/>
        <v>6589</v>
      </c>
      <c r="Q28" s="381">
        <f t="shared" si="20"/>
        <v>6633.47</v>
      </c>
      <c r="R28" s="381">
        <f t="shared" si="20"/>
        <v>11996</v>
      </c>
      <c r="S28" s="381">
        <f t="shared" si="20"/>
        <v>13924.119999999999</v>
      </c>
      <c r="T28" s="383">
        <f t="shared" si="20"/>
        <v>2470</v>
      </c>
      <c r="U28" s="381">
        <f t="shared" si="20"/>
        <v>2116.13</v>
      </c>
      <c r="V28" s="381">
        <f t="shared" si="20"/>
        <v>131954</v>
      </c>
      <c r="W28" s="382">
        <f t="shared" si="20"/>
        <v>111286.97</v>
      </c>
      <c r="X28" s="381">
        <f t="shared" si="20"/>
        <v>111647</v>
      </c>
      <c r="Y28" s="382">
        <f t="shared" si="20"/>
        <v>89722.16</v>
      </c>
      <c r="Z28" s="381">
        <f t="shared" si="20"/>
        <v>5288</v>
      </c>
      <c r="AA28" s="381">
        <f t="shared" si="20"/>
        <v>4003.1</v>
      </c>
      <c r="AB28" s="381">
        <f t="shared" si="20"/>
        <v>17098.169999999998</v>
      </c>
      <c r="AC28" s="382">
        <f t="shared" si="20"/>
        <v>10864.510000000002</v>
      </c>
      <c r="AD28" s="381">
        <f t="shared" si="20"/>
        <v>32800</v>
      </c>
      <c r="AE28" s="381">
        <f t="shared" si="20"/>
        <v>28774</v>
      </c>
      <c r="AF28" s="381">
        <f t="shared" si="20"/>
        <v>90795</v>
      </c>
      <c r="AG28" s="381">
        <f t="shared" si="20"/>
        <v>75365</v>
      </c>
      <c r="AH28" s="381">
        <f t="shared" si="20"/>
        <v>26189</v>
      </c>
      <c r="AI28" s="381">
        <f t="shared" si="20"/>
        <v>20787.830000000002</v>
      </c>
      <c r="AJ28" s="381">
        <f t="shared" si="20"/>
        <v>10401</v>
      </c>
      <c r="AK28" s="381">
        <f t="shared" si="20"/>
        <v>9817</v>
      </c>
      <c r="AL28" s="381">
        <f>AL9</f>
        <v>0</v>
      </c>
      <c r="AM28" s="381">
        <f>AM9</f>
        <v>0</v>
      </c>
      <c r="AN28" s="381">
        <f t="shared" si="20"/>
        <v>145304</v>
      </c>
      <c r="AO28" s="384">
        <f t="shared" ref="AO28:AU28" si="21">SUM(AO17:AO27)</f>
        <v>115698.58999999998</v>
      </c>
      <c r="AP28" s="385">
        <f t="shared" si="21"/>
        <v>8996.58</v>
      </c>
      <c r="AQ28" s="384">
        <f t="shared" si="21"/>
        <v>8001.1900000000005</v>
      </c>
      <c r="AR28" s="385">
        <f t="shared" si="21"/>
        <v>16724</v>
      </c>
      <c r="AS28" s="384">
        <f t="shared" si="21"/>
        <v>12456.99</v>
      </c>
      <c r="AT28" s="385">
        <f t="shared" si="21"/>
        <v>82767</v>
      </c>
      <c r="AU28" s="384">
        <f t="shared" si="21"/>
        <v>66476.36</v>
      </c>
      <c r="AV28" s="385">
        <f>SUM(B28+D28+F28+H28+J28+L28+N28+P28+R28+T28+V28+X28+Z28+AB28+AD28+AF28+AH28+AJ28+AL28+AN28+AP28+AR28+AT28)</f>
        <v>828187.74999999988</v>
      </c>
      <c r="AW28" s="386">
        <f>SUM(C28+E28+G28+I28+K28+M28+O28+Q28+S28+U28+W28+Y28+AA28+AC28+AE28+AG28+AI28+AK28+AM28+AO28+AQ28+AS28+AU28)</f>
        <v>676326.2</v>
      </c>
      <c r="AX28" s="387">
        <v>1542889.56</v>
      </c>
      <c r="AY28" s="388">
        <f>SUM(AY17:AY27)</f>
        <v>1469403.27</v>
      </c>
      <c r="AZ28" s="385">
        <f>AV28+AX28</f>
        <v>2371077.31</v>
      </c>
      <c r="BA28" s="389">
        <f>AW28+AY28</f>
        <v>2145729.4699999997</v>
      </c>
    </row>
  </sheetData>
  <mergeCells count="29">
    <mergeCell ref="J3:K3"/>
    <mergeCell ref="L3:M3"/>
    <mergeCell ref="N3:O3"/>
    <mergeCell ref="AB3:AC3"/>
    <mergeCell ref="AD3:AE3"/>
    <mergeCell ref="AF3:AG3"/>
    <mergeCell ref="V3:W3"/>
    <mergeCell ref="X3:Y3"/>
    <mergeCell ref="Z3:AA3"/>
    <mergeCell ref="A1:AZ1"/>
    <mergeCell ref="A2:AZ2"/>
    <mergeCell ref="A3:A4"/>
    <mergeCell ref="B3:C3"/>
    <mergeCell ref="D3:E3"/>
    <mergeCell ref="F3:G3"/>
    <mergeCell ref="H3:I3"/>
    <mergeCell ref="P3:Q3"/>
    <mergeCell ref="R3:S3"/>
    <mergeCell ref="T3:U3"/>
    <mergeCell ref="AH3:AI3"/>
    <mergeCell ref="AJ3:AK3"/>
    <mergeCell ref="AL3:AM3"/>
    <mergeCell ref="AZ3:BA3"/>
    <mergeCell ref="AN3:AO3"/>
    <mergeCell ref="AP3:AQ3"/>
    <mergeCell ref="AR3:AS3"/>
    <mergeCell ref="AT3:AU3"/>
    <mergeCell ref="AV3:AW3"/>
    <mergeCell ref="AX3:AY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BA40"/>
  <sheetViews>
    <sheetView topLeftCell="A22" workbookViewId="0">
      <pane xSplit="1" topLeftCell="B1" activePane="topRight" state="frozen"/>
      <selection pane="topRight" activeCell="C42" sqref="C42"/>
    </sheetView>
  </sheetViews>
  <sheetFormatPr defaultRowHeight="16.5" x14ac:dyDescent="0.3"/>
  <cols>
    <col min="1" max="1" width="59.42578125" style="107" bestFit="1" customWidth="1"/>
    <col min="2" max="26" width="12.42578125" style="107" bestFit="1" customWidth="1"/>
    <col min="27" max="27" width="12.42578125" style="107" customWidth="1"/>
    <col min="28" max="53" width="12.42578125" style="107" bestFit="1" customWidth="1"/>
    <col min="54" max="16384" width="9.140625" style="107"/>
  </cols>
  <sheetData>
    <row r="1" spans="1:53" ht="18" x14ac:dyDescent="0.35">
      <c r="A1" s="1123" t="s">
        <v>228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  <c r="L1" s="1123"/>
      <c r="M1" s="1123"/>
      <c r="N1" s="1123"/>
      <c r="O1" s="1123"/>
      <c r="P1" s="1123"/>
      <c r="Q1" s="1123"/>
      <c r="R1" s="1123"/>
      <c r="S1" s="1123"/>
      <c r="T1" s="1123"/>
      <c r="U1" s="1123"/>
      <c r="V1" s="1123"/>
      <c r="W1" s="1123"/>
      <c r="X1" s="1123"/>
      <c r="Y1" s="1123"/>
      <c r="Z1" s="1123"/>
      <c r="AA1" s="1123"/>
      <c r="AB1" s="1123"/>
      <c r="AC1" s="1123"/>
      <c r="AD1" s="1123"/>
      <c r="AE1" s="1123"/>
      <c r="AF1" s="1123"/>
      <c r="AG1" s="1123"/>
      <c r="AH1" s="1123"/>
      <c r="AI1" s="1123"/>
      <c r="AJ1" s="1123"/>
      <c r="AK1" s="1123"/>
      <c r="AL1" s="1123"/>
      <c r="AM1" s="1123"/>
      <c r="AN1" s="1123"/>
      <c r="AO1" s="1123"/>
      <c r="AP1" s="1123"/>
      <c r="AQ1" s="1123"/>
      <c r="AR1" s="1123"/>
      <c r="AS1" s="1123"/>
      <c r="AT1" s="1123"/>
      <c r="AU1" s="1123"/>
      <c r="AV1" s="1123"/>
      <c r="AW1" s="1123"/>
      <c r="AX1" s="1123"/>
      <c r="AY1" s="1123"/>
      <c r="AZ1" s="1123"/>
    </row>
    <row r="2" spans="1:53" s="745" customFormat="1" ht="18.75" thickBot="1" x14ac:dyDescent="0.4">
      <c r="A2" s="1124" t="s">
        <v>373</v>
      </c>
      <c r="B2" s="1124"/>
      <c r="C2" s="1124"/>
      <c r="D2" s="1124"/>
      <c r="E2" s="1124"/>
      <c r="F2" s="1124"/>
      <c r="G2" s="1124"/>
      <c r="H2" s="1124"/>
      <c r="I2" s="1124"/>
      <c r="J2" s="1124"/>
      <c r="K2" s="1124"/>
      <c r="L2" s="1124"/>
      <c r="M2" s="1124"/>
      <c r="N2" s="1124"/>
      <c r="O2" s="1124"/>
      <c r="P2" s="1124"/>
      <c r="Q2" s="1124"/>
      <c r="R2" s="1124"/>
      <c r="S2" s="1124"/>
      <c r="T2" s="1124"/>
      <c r="U2" s="1124"/>
      <c r="V2" s="1124"/>
      <c r="W2" s="1124"/>
      <c r="X2" s="1124"/>
      <c r="Y2" s="1124"/>
      <c r="Z2" s="1124"/>
      <c r="AA2" s="1124"/>
      <c r="AB2" s="1124"/>
      <c r="AC2" s="1124"/>
      <c r="AD2" s="1124"/>
      <c r="AE2" s="1124"/>
      <c r="AF2" s="1124"/>
      <c r="AG2" s="1124"/>
      <c r="AH2" s="1124"/>
      <c r="AI2" s="1124"/>
      <c r="AJ2" s="1124"/>
      <c r="AK2" s="1124"/>
      <c r="AL2" s="1124"/>
      <c r="AM2" s="1124"/>
      <c r="AN2" s="1124"/>
      <c r="AO2" s="1124"/>
      <c r="AP2" s="1124"/>
      <c r="AQ2" s="1124"/>
      <c r="AR2" s="1124"/>
      <c r="AS2" s="1124"/>
      <c r="AT2" s="1124"/>
      <c r="AU2" s="1124"/>
      <c r="AV2" s="1124"/>
      <c r="AW2" s="1124"/>
      <c r="AX2" s="1124"/>
      <c r="AY2" s="1124"/>
      <c r="AZ2" s="1124"/>
    </row>
    <row r="3" spans="1:53" s="140" customFormat="1" ht="27.75" customHeight="1" thickBot="1" x14ac:dyDescent="0.3">
      <c r="A3" s="1125" t="s">
        <v>0</v>
      </c>
      <c r="B3" s="1127" t="s">
        <v>114</v>
      </c>
      <c r="C3" s="1128"/>
      <c r="D3" s="1129" t="s">
        <v>115</v>
      </c>
      <c r="E3" s="1130"/>
      <c r="F3" s="1129" t="s">
        <v>116</v>
      </c>
      <c r="G3" s="1130"/>
      <c r="H3" s="1129" t="s">
        <v>117</v>
      </c>
      <c r="I3" s="1131"/>
      <c r="J3" s="1129" t="s">
        <v>118</v>
      </c>
      <c r="K3" s="1130"/>
      <c r="L3" s="1129" t="s">
        <v>119</v>
      </c>
      <c r="M3" s="1130"/>
      <c r="N3" s="1129" t="s">
        <v>325</v>
      </c>
      <c r="O3" s="1130"/>
      <c r="P3" s="1129" t="s">
        <v>120</v>
      </c>
      <c r="Q3" s="1130"/>
      <c r="R3" s="1129" t="s">
        <v>121</v>
      </c>
      <c r="S3" s="1130"/>
      <c r="T3" s="1129" t="s">
        <v>122</v>
      </c>
      <c r="U3" s="1130"/>
      <c r="V3" s="1129" t="s">
        <v>123</v>
      </c>
      <c r="W3" s="1130"/>
      <c r="X3" s="1129" t="s">
        <v>124</v>
      </c>
      <c r="Y3" s="1131"/>
      <c r="Z3" s="1129" t="s">
        <v>227</v>
      </c>
      <c r="AA3" s="1130"/>
      <c r="AB3" s="1129" t="s">
        <v>125</v>
      </c>
      <c r="AC3" s="1130"/>
      <c r="AD3" s="1129" t="s">
        <v>126</v>
      </c>
      <c r="AE3" s="1130"/>
      <c r="AF3" s="1129" t="s">
        <v>127</v>
      </c>
      <c r="AG3" s="1130"/>
      <c r="AH3" s="1129" t="s">
        <v>128</v>
      </c>
      <c r="AI3" s="1130"/>
      <c r="AJ3" s="1129" t="s">
        <v>129</v>
      </c>
      <c r="AK3" s="1130"/>
      <c r="AL3" s="1129" t="s">
        <v>130</v>
      </c>
      <c r="AM3" s="1130"/>
      <c r="AN3" s="1129" t="s">
        <v>131</v>
      </c>
      <c r="AO3" s="1131"/>
      <c r="AP3" s="1132" t="s">
        <v>132</v>
      </c>
      <c r="AQ3" s="1132"/>
      <c r="AR3" s="1133" t="s">
        <v>133</v>
      </c>
      <c r="AS3" s="1134"/>
      <c r="AT3" s="1129" t="s">
        <v>134</v>
      </c>
      <c r="AU3" s="1130"/>
      <c r="AV3" s="1135" t="s">
        <v>1</v>
      </c>
      <c r="AW3" s="1120"/>
      <c r="AX3" s="1136" t="s">
        <v>135</v>
      </c>
      <c r="AY3" s="1137"/>
      <c r="AZ3" s="1120" t="s">
        <v>2</v>
      </c>
      <c r="BA3" s="1121"/>
    </row>
    <row r="4" spans="1:53" s="391" customFormat="1" ht="15" customHeight="1" thickBot="1" x14ac:dyDescent="0.35">
      <c r="A4" s="1126"/>
      <c r="B4" s="746" t="s">
        <v>222</v>
      </c>
      <c r="C4" s="747" t="s">
        <v>217</v>
      </c>
      <c r="D4" s="746" t="s">
        <v>222</v>
      </c>
      <c r="E4" s="747" t="s">
        <v>217</v>
      </c>
      <c r="F4" s="746" t="s">
        <v>222</v>
      </c>
      <c r="G4" s="747" t="s">
        <v>217</v>
      </c>
      <c r="H4" s="746" t="s">
        <v>222</v>
      </c>
      <c r="I4" s="712" t="s">
        <v>217</v>
      </c>
      <c r="J4" s="746" t="s">
        <v>222</v>
      </c>
      <c r="K4" s="747" t="s">
        <v>217</v>
      </c>
      <c r="L4" s="746" t="s">
        <v>222</v>
      </c>
      <c r="M4" s="747" t="s">
        <v>217</v>
      </c>
      <c r="N4" s="746" t="s">
        <v>222</v>
      </c>
      <c r="O4" s="747" t="s">
        <v>217</v>
      </c>
      <c r="P4" s="746" t="s">
        <v>222</v>
      </c>
      <c r="Q4" s="747" t="s">
        <v>217</v>
      </c>
      <c r="R4" s="746" t="s">
        <v>222</v>
      </c>
      <c r="S4" s="747" t="s">
        <v>217</v>
      </c>
      <c r="T4" s="746" t="s">
        <v>222</v>
      </c>
      <c r="U4" s="747" t="s">
        <v>217</v>
      </c>
      <c r="V4" s="746" t="s">
        <v>222</v>
      </c>
      <c r="W4" s="747" t="s">
        <v>217</v>
      </c>
      <c r="X4" s="746" t="s">
        <v>222</v>
      </c>
      <c r="Y4" s="712" t="s">
        <v>217</v>
      </c>
      <c r="Z4" s="746" t="s">
        <v>222</v>
      </c>
      <c r="AA4" s="747" t="s">
        <v>217</v>
      </c>
      <c r="AB4" s="746" t="s">
        <v>222</v>
      </c>
      <c r="AC4" s="747" t="s">
        <v>217</v>
      </c>
      <c r="AD4" s="746" t="s">
        <v>222</v>
      </c>
      <c r="AE4" s="747" t="s">
        <v>217</v>
      </c>
      <c r="AF4" s="746" t="s">
        <v>222</v>
      </c>
      <c r="AG4" s="747" t="s">
        <v>217</v>
      </c>
      <c r="AH4" s="746" t="s">
        <v>222</v>
      </c>
      <c r="AI4" s="747" t="s">
        <v>217</v>
      </c>
      <c r="AJ4" s="746" t="s">
        <v>222</v>
      </c>
      <c r="AK4" s="747" t="s">
        <v>217</v>
      </c>
      <c r="AL4" s="746" t="s">
        <v>222</v>
      </c>
      <c r="AM4" s="747" t="s">
        <v>217</v>
      </c>
      <c r="AN4" s="746" t="s">
        <v>222</v>
      </c>
      <c r="AO4" s="712" t="s">
        <v>217</v>
      </c>
      <c r="AP4" s="747" t="s">
        <v>222</v>
      </c>
      <c r="AQ4" s="747" t="s">
        <v>217</v>
      </c>
      <c r="AR4" s="747" t="s">
        <v>222</v>
      </c>
      <c r="AS4" s="392" t="s">
        <v>217</v>
      </c>
      <c r="AT4" s="392" t="s">
        <v>222</v>
      </c>
      <c r="AU4" s="747" t="s">
        <v>217</v>
      </c>
      <c r="AV4" s="392" t="s">
        <v>222</v>
      </c>
      <c r="AW4" s="747" t="s">
        <v>217</v>
      </c>
      <c r="AX4" s="746" t="s">
        <v>222</v>
      </c>
      <c r="AY4" s="712" t="s">
        <v>217</v>
      </c>
      <c r="AZ4" s="747" t="s">
        <v>222</v>
      </c>
      <c r="BA4" s="712" t="s">
        <v>217</v>
      </c>
    </row>
    <row r="5" spans="1:53" ht="15" customHeight="1" x14ac:dyDescent="0.3">
      <c r="A5" s="748" t="s">
        <v>229</v>
      </c>
      <c r="B5" s="749">
        <v>54231</v>
      </c>
      <c r="C5" s="750">
        <v>49107</v>
      </c>
      <c r="D5" s="749">
        <v>5927</v>
      </c>
      <c r="E5" s="750">
        <v>6585.97</v>
      </c>
      <c r="F5" s="751">
        <v>11622</v>
      </c>
      <c r="G5" s="750">
        <v>12568</v>
      </c>
      <c r="H5" s="749">
        <v>128034</v>
      </c>
      <c r="I5" s="750">
        <v>78184.399999999994</v>
      </c>
      <c r="J5" s="749">
        <v>33315</v>
      </c>
      <c r="K5" s="750">
        <v>23378.94</v>
      </c>
      <c r="L5" s="749">
        <v>31621</v>
      </c>
      <c r="M5" s="750">
        <v>25472.46</v>
      </c>
      <c r="N5" s="749">
        <v>12651</v>
      </c>
      <c r="O5" s="750">
        <v>11724.31</v>
      </c>
      <c r="P5" s="749">
        <v>21243</v>
      </c>
      <c r="Q5" s="750">
        <v>21913.88</v>
      </c>
      <c r="R5" s="749">
        <v>23086</v>
      </c>
      <c r="S5" s="750">
        <v>22165.67</v>
      </c>
      <c r="T5" s="749">
        <v>23245</v>
      </c>
      <c r="U5" s="750">
        <v>26897.79</v>
      </c>
      <c r="V5" s="749">
        <v>145745</v>
      </c>
      <c r="W5" s="750">
        <v>114455.56</v>
      </c>
      <c r="X5" s="749">
        <v>88231</v>
      </c>
      <c r="Y5" s="750">
        <v>66762.600000000006</v>
      </c>
      <c r="Z5" s="749">
        <v>10042</v>
      </c>
      <c r="AA5" s="750">
        <v>8279.9500000000007</v>
      </c>
      <c r="AB5" s="749">
        <v>21990</v>
      </c>
      <c r="AC5" s="750">
        <v>19882.78</v>
      </c>
      <c r="AD5" s="749">
        <v>77401</v>
      </c>
      <c r="AE5" s="750">
        <v>69529.98</v>
      </c>
      <c r="AF5" s="749">
        <v>122685</v>
      </c>
      <c r="AG5" s="750">
        <v>110301.69</v>
      </c>
      <c r="AH5" s="749">
        <v>51495</v>
      </c>
      <c r="AI5" s="750">
        <v>46379.31</v>
      </c>
      <c r="AJ5" s="749">
        <v>53773</v>
      </c>
      <c r="AK5" s="750">
        <v>52388.2</v>
      </c>
      <c r="AL5" s="749"/>
      <c r="AM5" s="750"/>
      <c r="AN5" s="752">
        <v>120014</v>
      </c>
      <c r="AO5" s="753">
        <v>111974.8</v>
      </c>
      <c r="AP5" s="749">
        <v>22899</v>
      </c>
      <c r="AQ5" s="750">
        <v>23877.23</v>
      </c>
      <c r="AR5" s="749">
        <v>23971</v>
      </c>
      <c r="AS5" s="750">
        <v>18925.18</v>
      </c>
      <c r="AT5" s="749">
        <v>73829</v>
      </c>
      <c r="AU5" s="750">
        <v>50754.51</v>
      </c>
      <c r="AV5" s="749">
        <f>SUM(B5+D5+F5+H5+J5+L5+N5+P5+R5+T5+V5+X5+Z5+AB5+AD5+AF5+AH5+AJ5+AL5+AN5+AP5+AR5+AT5)</f>
        <v>1157050</v>
      </c>
      <c r="AW5" s="828">
        <f>SUM(C5+E5+G5+I5+K5+M5+O5+Q5+S5+U5+W5+Y5+AA5+AC5+AE5+AG5+AI5+AK5+AM5+AO5+AQ5+AS5+AU5)</f>
        <v>971510.21000000008</v>
      </c>
      <c r="AX5" s="749">
        <v>2174742.66</v>
      </c>
      <c r="AY5" s="750">
        <v>2038651.16</v>
      </c>
      <c r="AZ5" s="754">
        <f>AV5+AX5</f>
        <v>3331792.66</v>
      </c>
      <c r="BA5" s="831">
        <f>AW5+AY5</f>
        <v>3010161.37</v>
      </c>
    </row>
    <row r="6" spans="1:53" x14ac:dyDescent="0.3">
      <c r="A6" s="755" t="s">
        <v>230</v>
      </c>
      <c r="B6" s="756">
        <v>685</v>
      </c>
      <c r="C6" s="750">
        <v>375</v>
      </c>
      <c r="D6" s="751">
        <v>36</v>
      </c>
      <c r="E6" s="750">
        <v>29.74</v>
      </c>
      <c r="F6" s="751">
        <v>68</v>
      </c>
      <c r="G6" s="750">
        <v>5</v>
      </c>
      <c r="H6" s="751">
        <v>1566</v>
      </c>
      <c r="I6" s="750">
        <v>371.28</v>
      </c>
      <c r="J6" s="751">
        <v>474</v>
      </c>
      <c r="K6" s="750">
        <v>110.82</v>
      </c>
      <c r="L6" s="751">
        <v>1215</v>
      </c>
      <c r="M6" s="750">
        <v>867.08</v>
      </c>
      <c r="N6" s="751">
        <v>58</v>
      </c>
      <c r="O6" s="750">
        <v>20.149999999999999</v>
      </c>
      <c r="P6" s="751">
        <v>325</v>
      </c>
      <c r="Q6" s="750">
        <v>360.75</v>
      </c>
      <c r="R6" s="751">
        <v>485</v>
      </c>
      <c r="S6" s="750">
        <v>84.42</v>
      </c>
      <c r="T6" s="751">
        <v>100</v>
      </c>
      <c r="U6" s="750">
        <v>93.11</v>
      </c>
      <c r="V6" s="751">
        <v>1060</v>
      </c>
      <c r="W6" s="750">
        <v>186.47</v>
      </c>
      <c r="X6" s="751">
        <v>1775</v>
      </c>
      <c r="Y6" s="750">
        <v>430.41</v>
      </c>
      <c r="Z6" s="757">
        <v>113</v>
      </c>
      <c r="AA6" s="750">
        <v>165.12</v>
      </c>
      <c r="AB6" s="751">
        <v>1035</v>
      </c>
      <c r="AC6" s="750">
        <v>625.79</v>
      </c>
      <c r="AD6" s="751">
        <v>837</v>
      </c>
      <c r="AE6" s="750">
        <v>539.23</v>
      </c>
      <c r="AF6" s="751">
        <v>2128</v>
      </c>
      <c r="AG6" s="750">
        <v>1506.52</v>
      </c>
      <c r="AH6" s="751">
        <v>637</v>
      </c>
      <c r="AI6" s="750">
        <v>227</v>
      </c>
      <c r="AJ6" s="751">
        <v>610</v>
      </c>
      <c r="AK6" s="750">
        <v>53.21</v>
      </c>
      <c r="AL6" s="758"/>
      <c r="AM6" s="750"/>
      <c r="AN6" s="759">
        <v>4836</v>
      </c>
      <c r="AO6" s="753">
        <v>3148.73</v>
      </c>
      <c r="AP6" s="751">
        <v>1294</v>
      </c>
      <c r="AQ6" s="750">
        <v>1026.72</v>
      </c>
      <c r="AR6" s="760">
        <v>267</v>
      </c>
      <c r="AS6" s="750">
        <v>153.41999999999999</v>
      </c>
      <c r="AT6" s="751">
        <v>1456</v>
      </c>
      <c r="AU6" s="750">
        <v>945.91</v>
      </c>
      <c r="AV6" s="749">
        <f t="shared" ref="AV6:AV38" si="0">SUM(B6+D6+F6+H6+J6+L6+N6+P6+R6+T6+V6+X6+Z6+AB6+AD6+AF6+AH6+AJ6+AL6+AN6+AP6+AR6+AT6)</f>
        <v>21060</v>
      </c>
      <c r="AW6" s="828">
        <f t="shared" ref="AW6:AW38" si="1">SUM(C6+E6+G6+I6+K6+M6+O6+Q6+S6+U6+W6+Y6+AA6+AC6+AE6+AG6+AI6+AK6+AM6+AO6+AQ6+AS6+AU6)</f>
        <v>11325.88</v>
      </c>
      <c r="AX6" s="760">
        <v>24307.58</v>
      </c>
      <c r="AY6" s="750">
        <v>12840.13</v>
      </c>
      <c r="AZ6" s="754">
        <f t="shared" ref="AZ6:AZ38" si="2">AV6+AX6</f>
        <v>45367.58</v>
      </c>
      <c r="BA6" s="831">
        <f t="shared" ref="BA6:BA38" si="3">AW6+AY6</f>
        <v>24166.01</v>
      </c>
    </row>
    <row r="7" spans="1:53" x14ac:dyDescent="0.3">
      <c r="A7" s="755" t="s">
        <v>231</v>
      </c>
      <c r="B7" s="756">
        <v>628</v>
      </c>
      <c r="C7" s="750">
        <v>595</v>
      </c>
      <c r="D7" s="751">
        <v>21</v>
      </c>
      <c r="E7" s="750">
        <v>3.75</v>
      </c>
      <c r="F7" s="751"/>
      <c r="G7" s="750">
        <v>3</v>
      </c>
      <c r="H7" s="751">
        <v>1222</v>
      </c>
      <c r="I7" s="750">
        <v>158.15</v>
      </c>
      <c r="J7" s="751">
        <v>164</v>
      </c>
      <c r="K7" s="750">
        <v>18.940000000000001</v>
      </c>
      <c r="L7" s="751">
        <v>267</v>
      </c>
      <c r="M7" s="750">
        <v>569.58000000000004</v>
      </c>
      <c r="N7" s="751">
        <v>15</v>
      </c>
      <c r="O7" s="750">
        <v>65.14</v>
      </c>
      <c r="P7" s="751">
        <v>203</v>
      </c>
      <c r="Q7" s="750">
        <v>57.17</v>
      </c>
      <c r="R7" s="751"/>
      <c r="S7" s="750"/>
      <c r="T7" s="751">
        <v>829</v>
      </c>
      <c r="U7" s="750">
        <v>814.68</v>
      </c>
      <c r="V7" s="751">
        <v>6351</v>
      </c>
      <c r="W7" s="750">
        <v>7091.12</v>
      </c>
      <c r="X7" s="751">
        <v>488</v>
      </c>
      <c r="Y7" s="750">
        <v>266.42</v>
      </c>
      <c r="Z7" s="757">
        <v>22</v>
      </c>
      <c r="AA7" s="750">
        <v>15.32</v>
      </c>
      <c r="AB7" s="751">
        <v>1228</v>
      </c>
      <c r="AC7" s="750">
        <v>521.79</v>
      </c>
      <c r="AD7" s="751">
        <v>118</v>
      </c>
      <c r="AE7" s="750"/>
      <c r="AF7" s="751">
        <v>4689</v>
      </c>
      <c r="AG7" s="750">
        <v>6415.62</v>
      </c>
      <c r="AH7" s="751">
        <v>218</v>
      </c>
      <c r="AI7" s="750">
        <v>79.83</v>
      </c>
      <c r="AJ7" s="751">
        <v>496</v>
      </c>
      <c r="AK7" s="750">
        <v>789.79</v>
      </c>
      <c r="AL7" s="758"/>
      <c r="AM7" s="750"/>
      <c r="AN7" s="759">
        <v>2851</v>
      </c>
      <c r="AO7" s="753">
        <v>1297.55</v>
      </c>
      <c r="AP7" s="751">
        <v>162</v>
      </c>
      <c r="AQ7" s="750">
        <v>207.5</v>
      </c>
      <c r="AR7" s="760">
        <v>481</v>
      </c>
      <c r="AS7" s="750">
        <v>394.03</v>
      </c>
      <c r="AT7" s="751">
        <v>4165</v>
      </c>
      <c r="AU7" s="750">
        <v>328.98</v>
      </c>
      <c r="AV7" s="749">
        <f t="shared" si="0"/>
        <v>24618</v>
      </c>
      <c r="AW7" s="828">
        <f t="shared" si="1"/>
        <v>19693.36</v>
      </c>
      <c r="AX7" s="760">
        <v>857.99</v>
      </c>
      <c r="AY7" s="750">
        <v>558.05999999999995</v>
      </c>
      <c r="AZ7" s="754">
        <f t="shared" si="2"/>
        <v>25475.99</v>
      </c>
      <c r="BA7" s="831">
        <f t="shared" si="3"/>
        <v>20251.420000000002</v>
      </c>
    </row>
    <row r="8" spans="1:53" x14ac:dyDescent="0.3">
      <c r="A8" s="755" t="s">
        <v>232</v>
      </c>
      <c r="B8" s="756">
        <v>3954</v>
      </c>
      <c r="C8" s="750">
        <v>4016</v>
      </c>
      <c r="D8" s="751">
        <v>142</v>
      </c>
      <c r="E8" s="750">
        <v>624.95000000000005</v>
      </c>
      <c r="F8" s="751">
        <v>2090</v>
      </c>
      <c r="G8" s="750">
        <v>2089</v>
      </c>
      <c r="H8" s="751">
        <v>2323</v>
      </c>
      <c r="I8" s="750">
        <v>1553.38</v>
      </c>
      <c r="J8" s="751">
        <v>1546</v>
      </c>
      <c r="K8" s="750">
        <v>2013.32</v>
      </c>
      <c r="L8" s="751">
        <v>712</v>
      </c>
      <c r="M8" s="750">
        <v>2601.34</v>
      </c>
      <c r="N8" s="751">
        <v>1392</v>
      </c>
      <c r="O8" s="750">
        <v>1290.1500000000001</v>
      </c>
      <c r="P8" s="751">
        <v>1053</v>
      </c>
      <c r="Q8" s="750">
        <v>1740.66</v>
      </c>
      <c r="R8" s="751">
        <v>2386</v>
      </c>
      <c r="S8" s="750">
        <v>3248.45</v>
      </c>
      <c r="T8" s="751">
        <v>1784</v>
      </c>
      <c r="U8" s="750">
        <v>1972.36</v>
      </c>
      <c r="V8" s="751">
        <v>7983</v>
      </c>
      <c r="W8" s="750">
        <v>7713.65</v>
      </c>
      <c r="X8" s="751">
        <v>4974</v>
      </c>
      <c r="Y8" s="750">
        <v>12252.98</v>
      </c>
      <c r="Z8" s="757">
        <v>609</v>
      </c>
      <c r="AA8" s="750">
        <v>599.6</v>
      </c>
      <c r="AB8" s="751">
        <v>1614</v>
      </c>
      <c r="AC8" s="750">
        <v>1315.4</v>
      </c>
      <c r="AD8" s="751">
        <v>3919</v>
      </c>
      <c r="AE8" s="750">
        <v>3745.28</v>
      </c>
      <c r="AF8" s="751">
        <v>5785</v>
      </c>
      <c r="AG8" s="750">
        <v>6402</v>
      </c>
      <c r="AH8" s="751">
        <v>1667</v>
      </c>
      <c r="AI8" s="750">
        <v>3864.34</v>
      </c>
      <c r="AJ8" s="751">
        <f>3390+1789</f>
        <v>5179</v>
      </c>
      <c r="AK8" s="750">
        <v>4983.33</v>
      </c>
      <c r="AL8" s="758"/>
      <c r="AM8" s="750"/>
      <c r="AN8" s="759">
        <v>6756</v>
      </c>
      <c r="AO8" s="753">
        <v>6510.14</v>
      </c>
      <c r="AP8" s="751">
        <v>1051</v>
      </c>
      <c r="AQ8" s="750">
        <v>1210.32</v>
      </c>
      <c r="AR8" s="760">
        <v>1131</v>
      </c>
      <c r="AS8" s="750">
        <v>1134.1500000000001</v>
      </c>
      <c r="AT8" s="751">
        <v>2327</v>
      </c>
      <c r="AU8" s="750">
        <v>2188.84</v>
      </c>
      <c r="AV8" s="749">
        <f t="shared" si="0"/>
        <v>60377</v>
      </c>
      <c r="AW8" s="828">
        <f t="shared" si="1"/>
        <v>73069.64</v>
      </c>
      <c r="AX8" s="760">
        <v>47628.480000000003</v>
      </c>
      <c r="AY8" s="750">
        <v>42446.47</v>
      </c>
      <c r="AZ8" s="754">
        <f t="shared" si="2"/>
        <v>108005.48000000001</v>
      </c>
      <c r="BA8" s="831">
        <f t="shared" si="3"/>
        <v>115516.11</v>
      </c>
    </row>
    <row r="9" spans="1:53" x14ac:dyDescent="0.3">
      <c r="A9" s="755" t="s">
        <v>233</v>
      </c>
      <c r="B9" s="756">
        <v>1866</v>
      </c>
      <c r="C9" s="750">
        <v>1768</v>
      </c>
      <c r="D9" s="751">
        <v>3</v>
      </c>
      <c r="E9" s="750">
        <v>14.96</v>
      </c>
      <c r="F9" s="751">
        <v>948</v>
      </c>
      <c r="G9" s="750">
        <v>836</v>
      </c>
      <c r="H9" s="751">
        <v>602</v>
      </c>
      <c r="I9" s="750">
        <v>2128.8000000000002</v>
      </c>
      <c r="J9" s="751">
        <v>276</v>
      </c>
      <c r="K9" s="750">
        <v>191.79</v>
      </c>
      <c r="L9" s="751">
        <v>145</v>
      </c>
      <c r="M9" s="750">
        <v>149.07</v>
      </c>
      <c r="N9" s="751">
        <v>472</v>
      </c>
      <c r="O9" s="750">
        <v>468.79</v>
      </c>
      <c r="P9" s="751">
        <v>677</v>
      </c>
      <c r="Q9" s="750">
        <v>641.21</v>
      </c>
      <c r="R9" s="751">
        <v>599</v>
      </c>
      <c r="S9" s="750">
        <v>2647.06</v>
      </c>
      <c r="T9" s="751">
        <v>736</v>
      </c>
      <c r="U9" s="750">
        <v>849.12</v>
      </c>
      <c r="V9" s="751">
        <v>209</v>
      </c>
      <c r="W9" s="750">
        <v>197.53</v>
      </c>
      <c r="X9" s="751">
        <v>2622</v>
      </c>
      <c r="Y9" s="750">
        <v>2634.84</v>
      </c>
      <c r="Z9" s="757">
        <v>35</v>
      </c>
      <c r="AA9" s="750">
        <v>314.06</v>
      </c>
      <c r="AB9" s="751">
        <v>245</v>
      </c>
      <c r="AC9" s="750">
        <v>225.85</v>
      </c>
      <c r="AD9" s="751">
        <v>1213</v>
      </c>
      <c r="AE9" s="750">
        <v>1435.91</v>
      </c>
      <c r="AF9" s="751">
        <v>2669</v>
      </c>
      <c r="AG9" s="750">
        <v>2445.81</v>
      </c>
      <c r="AH9" s="751">
        <v>210</v>
      </c>
      <c r="AI9" s="750">
        <v>170.07</v>
      </c>
      <c r="AJ9" s="751">
        <v>210</v>
      </c>
      <c r="AK9" s="750">
        <v>108.32</v>
      </c>
      <c r="AL9" s="758"/>
      <c r="AM9" s="750"/>
      <c r="AN9" s="759">
        <v>6248</v>
      </c>
      <c r="AO9" s="753">
        <v>5230.1000000000004</v>
      </c>
      <c r="AP9" s="751">
        <v>22</v>
      </c>
      <c r="AQ9" s="750">
        <v>12.52</v>
      </c>
      <c r="AR9" s="760">
        <v>1003</v>
      </c>
      <c r="AS9" s="750">
        <v>1008.6</v>
      </c>
      <c r="AT9" s="751">
        <v>1600</v>
      </c>
      <c r="AU9" s="750">
        <v>1467.94</v>
      </c>
      <c r="AV9" s="749">
        <f t="shared" si="0"/>
        <v>22610</v>
      </c>
      <c r="AW9" s="828">
        <f t="shared" si="1"/>
        <v>24946.35</v>
      </c>
      <c r="AX9" s="760">
        <v>8487.25</v>
      </c>
      <c r="AY9" s="750">
        <v>10459.43</v>
      </c>
      <c r="AZ9" s="754">
        <f t="shared" si="2"/>
        <v>31097.25</v>
      </c>
      <c r="BA9" s="831">
        <f t="shared" si="3"/>
        <v>35405.78</v>
      </c>
    </row>
    <row r="10" spans="1:53" x14ac:dyDescent="0.3">
      <c r="A10" s="755" t="s">
        <v>234</v>
      </c>
      <c r="B10" s="756">
        <v>248</v>
      </c>
      <c r="C10" s="750">
        <v>161</v>
      </c>
      <c r="D10" s="751">
        <v>14</v>
      </c>
      <c r="E10" s="750">
        <v>26.35</v>
      </c>
      <c r="F10" s="751">
        <v>99</v>
      </c>
      <c r="G10" s="750">
        <v>93</v>
      </c>
      <c r="H10" s="751">
        <v>247</v>
      </c>
      <c r="I10" s="750">
        <v>688.82</v>
      </c>
      <c r="J10" s="751">
        <v>266</v>
      </c>
      <c r="K10" s="750">
        <v>222.35</v>
      </c>
      <c r="L10" s="751">
        <v>244</v>
      </c>
      <c r="M10" s="750">
        <v>175.7</v>
      </c>
      <c r="N10" s="751">
        <v>22</v>
      </c>
      <c r="O10" s="750">
        <v>20.41</v>
      </c>
      <c r="P10" s="751">
        <v>142</v>
      </c>
      <c r="Q10" s="750">
        <v>95.37</v>
      </c>
      <c r="R10" s="751">
        <v>133</v>
      </c>
      <c r="S10" s="750">
        <v>154.04</v>
      </c>
      <c r="T10" s="751">
        <v>49</v>
      </c>
      <c r="U10" s="750">
        <v>46.18</v>
      </c>
      <c r="V10" s="751">
        <v>1197</v>
      </c>
      <c r="W10" s="750">
        <v>590.55999999999995</v>
      </c>
      <c r="X10" s="751">
        <v>403</v>
      </c>
      <c r="Y10" s="750">
        <v>294.39999999999998</v>
      </c>
      <c r="Z10" s="751">
        <v>133</v>
      </c>
      <c r="AA10" s="750">
        <v>12.35</v>
      </c>
      <c r="AB10" s="751">
        <v>172</v>
      </c>
      <c r="AC10" s="750">
        <v>113.42</v>
      </c>
      <c r="AD10" s="751">
        <v>419</v>
      </c>
      <c r="AE10" s="750">
        <v>487.94</v>
      </c>
      <c r="AF10" s="751">
        <v>458</v>
      </c>
      <c r="AG10" s="750">
        <v>516.69000000000005</v>
      </c>
      <c r="AH10" s="751">
        <v>301</v>
      </c>
      <c r="AI10" s="750">
        <v>266.70999999999998</v>
      </c>
      <c r="AJ10" s="751">
        <v>213</v>
      </c>
      <c r="AK10" s="750">
        <v>168.81</v>
      </c>
      <c r="AL10" s="758"/>
      <c r="AM10" s="750"/>
      <c r="AN10" s="759">
        <v>811</v>
      </c>
      <c r="AO10" s="753">
        <v>466.81</v>
      </c>
      <c r="AP10" s="751">
        <v>177</v>
      </c>
      <c r="AQ10" s="750">
        <v>251.57</v>
      </c>
      <c r="AR10" s="760">
        <v>108</v>
      </c>
      <c r="AS10" s="750">
        <v>64.86</v>
      </c>
      <c r="AT10" s="751">
        <v>310</v>
      </c>
      <c r="AU10" s="750">
        <v>269.33999999999997</v>
      </c>
      <c r="AV10" s="749">
        <f t="shared" si="0"/>
        <v>6166</v>
      </c>
      <c r="AW10" s="828">
        <f t="shared" si="1"/>
        <v>5186.68</v>
      </c>
      <c r="AX10" s="751">
        <v>9701.77</v>
      </c>
      <c r="AY10" s="750">
        <v>16436.21</v>
      </c>
      <c r="AZ10" s="754">
        <f t="shared" si="2"/>
        <v>15867.77</v>
      </c>
      <c r="BA10" s="831">
        <f t="shared" si="3"/>
        <v>21622.89</v>
      </c>
    </row>
    <row r="11" spans="1:53" x14ac:dyDescent="0.3">
      <c r="A11" s="755" t="s">
        <v>235</v>
      </c>
      <c r="B11" s="756">
        <v>665</v>
      </c>
      <c r="C11" s="750">
        <v>622</v>
      </c>
      <c r="D11" s="751">
        <v>99</v>
      </c>
      <c r="E11" s="750">
        <v>96.15</v>
      </c>
      <c r="F11" s="751">
        <v>333</v>
      </c>
      <c r="G11" s="750">
        <v>319</v>
      </c>
      <c r="H11" s="751">
        <v>3552</v>
      </c>
      <c r="I11" s="750">
        <v>221.9</v>
      </c>
      <c r="J11" s="751">
        <v>268</v>
      </c>
      <c r="K11" s="750">
        <v>183.4</v>
      </c>
      <c r="L11" s="751">
        <v>2213</v>
      </c>
      <c r="M11" s="750">
        <v>2671.34</v>
      </c>
      <c r="N11" s="751">
        <v>183</v>
      </c>
      <c r="O11" s="750">
        <v>214.78</v>
      </c>
      <c r="P11" s="751">
        <v>231</v>
      </c>
      <c r="Q11" s="750">
        <v>272.39</v>
      </c>
      <c r="R11" s="751">
        <v>213</v>
      </c>
      <c r="S11" s="750">
        <v>231.69</v>
      </c>
      <c r="T11" s="751">
        <v>298</v>
      </c>
      <c r="U11" s="750">
        <v>351.32</v>
      </c>
      <c r="V11" s="751">
        <v>1552</v>
      </c>
      <c r="W11" s="750">
        <v>1439.85</v>
      </c>
      <c r="X11" s="751">
        <v>8453</v>
      </c>
      <c r="Y11" s="750">
        <v>8764</v>
      </c>
      <c r="Z11" s="751">
        <v>280</v>
      </c>
      <c r="AA11" s="750">
        <v>77.459999999999994</v>
      </c>
      <c r="AB11" s="751">
        <v>799</v>
      </c>
      <c r="AC11" s="750">
        <v>630.01</v>
      </c>
      <c r="AD11" s="761">
        <v>885</v>
      </c>
      <c r="AE11" s="750">
        <v>809.63</v>
      </c>
      <c r="AF11" s="751">
        <v>4489</v>
      </c>
      <c r="AG11" s="750">
        <v>5058.21</v>
      </c>
      <c r="AH11" s="751">
        <v>802</v>
      </c>
      <c r="AI11" s="750">
        <v>1012.26</v>
      </c>
      <c r="AJ11" s="751">
        <v>572</v>
      </c>
      <c r="AK11" s="750">
        <v>643.46</v>
      </c>
      <c r="AL11" s="758"/>
      <c r="AM11" s="750"/>
      <c r="AN11" s="759">
        <v>4308</v>
      </c>
      <c r="AO11" s="753">
        <v>2960.35</v>
      </c>
      <c r="AP11" s="751">
        <v>508</v>
      </c>
      <c r="AQ11" s="750">
        <v>536.4</v>
      </c>
      <c r="AR11" s="760">
        <v>240</v>
      </c>
      <c r="AS11" s="750">
        <v>165.75</v>
      </c>
      <c r="AT11" s="751">
        <v>1858</v>
      </c>
      <c r="AU11" s="750">
        <v>1496.32</v>
      </c>
      <c r="AV11" s="749">
        <f t="shared" si="0"/>
        <v>32801</v>
      </c>
      <c r="AW11" s="828">
        <f t="shared" si="1"/>
        <v>28777.669999999995</v>
      </c>
      <c r="AX11" s="760">
        <v>16129.29</v>
      </c>
      <c r="AY11" s="750">
        <v>14788.34</v>
      </c>
      <c r="AZ11" s="754">
        <f t="shared" si="2"/>
        <v>48930.29</v>
      </c>
      <c r="BA11" s="831">
        <f t="shared" si="3"/>
        <v>43566.009999999995</v>
      </c>
    </row>
    <row r="12" spans="1:53" x14ac:dyDescent="0.3">
      <c r="A12" s="755" t="s">
        <v>236</v>
      </c>
      <c r="B12" s="756">
        <v>688</v>
      </c>
      <c r="C12" s="750">
        <v>730</v>
      </c>
      <c r="D12" s="751">
        <v>307</v>
      </c>
      <c r="E12" s="750">
        <v>216.9</v>
      </c>
      <c r="F12" s="751">
        <v>522</v>
      </c>
      <c r="G12" s="750">
        <v>428</v>
      </c>
      <c r="H12" s="751">
        <v>6781</v>
      </c>
      <c r="I12" s="750">
        <v>4603.9399999999996</v>
      </c>
      <c r="J12" s="751">
        <v>2940</v>
      </c>
      <c r="K12" s="750">
        <v>2391.88</v>
      </c>
      <c r="L12" s="751">
        <v>1357</v>
      </c>
      <c r="M12" s="750">
        <v>1094.1600000000001</v>
      </c>
      <c r="N12" s="751">
        <v>721</v>
      </c>
      <c r="O12" s="750">
        <v>951.07</v>
      </c>
      <c r="P12" s="751">
        <v>826</v>
      </c>
      <c r="Q12" s="750">
        <v>911.8</v>
      </c>
      <c r="R12" s="751">
        <f>383+5339</f>
        <v>5722</v>
      </c>
      <c r="S12" s="750">
        <v>3891.65</v>
      </c>
      <c r="T12" s="751">
        <v>311</v>
      </c>
      <c r="U12" s="750">
        <v>793.9</v>
      </c>
      <c r="V12" s="751">
        <v>14425</v>
      </c>
      <c r="W12" s="750">
        <v>13631.78</v>
      </c>
      <c r="X12" s="751">
        <v>20917</v>
      </c>
      <c r="Y12" s="750">
        <v>10880.89</v>
      </c>
      <c r="Z12" s="751">
        <v>2123</v>
      </c>
      <c r="AA12" s="750">
        <v>1491.68</v>
      </c>
      <c r="AB12" s="751">
        <v>801</v>
      </c>
      <c r="AC12" s="750">
        <v>476.46</v>
      </c>
      <c r="AD12" s="751">
        <v>2197</v>
      </c>
      <c r="AE12" s="750">
        <v>1417.13</v>
      </c>
      <c r="AF12" s="751">
        <v>2541</v>
      </c>
      <c r="AG12" s="750">
        <v>2381.86</v>
      </c>
      <c r="AH12" s="751">
        <v>1177</v>
      </c>
      <c r="AI12" s="750">
        <v>1240.8800000000001</v>
      </c>
      <c r="AJ12" s="751">
        <v>1512</v>
      </c>
      <c r="AK12" s="750">
        <v>1797.32</v>
      </c>
      <c r="AL12" s="758"/>
      <c r="AM12" s="750"/>
      <c r="AN12" s="759">
        <v>9276</v>
      </c>
      <c r="AO12" s="753">
        <v>10046.549999999999</v>
      </c>
      <c r="AP12" s="751">
        <v>1868</v>
      </c>
      <c r="AQ12" s="750">
        <v>1617.03</v>
      </c>
      <c r="AR12" s="760">
        <v>603</v>
      </c>
      <c r="AS12" s="750">
        <v>549.99</v>
      </c>
      <c r="AT12" s="751">
        <v>25054</v>
      </c>
      <c r="AU12" s="750">
        <v>15136.71</v>
      </c>
      <c r="AV12" s="749">
        <f t="shared" si="0"/>
        <v>102669</v>
      </c>
      <c r="AW12" s="828">
        <f t="shared" si="1"/>
        <v>76681.579999999987</v>
      </c>
      <c r="AX12" s="760">
        <v>2113.13</v>
      </c>
      <c r="AY12" s="750">
        <v>593.41</v>
      </c>
      <c r="AZ12" s="754">
        <f t="shared" si="2"/>
        <v>104782.13</v>
      </c>
      <c r="BA12" s="831">
        <f t="shared" si="3"/>
        <v>77274.989999999991</v>
      </c>
    </row>
    <row r="13" spans="1:53" x14ac:dyDescent="0.3">
      <c r="A13" s="755" t="s">
        <v>237</v>
      </c>
      <c r="B13" s="756">
        <v>1114</v>
      </c>
      <c r="C13" s="750">
        <v>736</v>
      </c>
      <c r="D13" s="751">
        <v>233</v>
      </c>
      <c r="E13" s="750">
        <v>304.04000000000002</v>
      </c>
      <c r="F13" s="751">
        <v>53</v>
      </c>
      <c r="G13" s="750">
        <v>21</v>
      </c>
      <c r="H13" s="751">
        <v>1326</v>
      </c>
      <c r="I13" s="750">
        <v>7080.04</v>
      </c>
      <c r="J13" s="751">
        <v>404</v>
      </c>
      <c r="K13" s="750">
        <v>166</v>
      </c>
      <c r="L13" s="751">
        <v>362</v>
      </c>
      <c r="M13" s="750">
        <v>378.76</v>
      </c>
      <c r="N13" s="751">
        <v>58</v>
      </c>
      <c r="O13" s="750">
        <v>27.35</v>
      </c>
      <c r="P13" s="751">
        <v>204</v>
      </c>
      <c r="Q13" s="750">
        <v>170.95</v>
      </c>
      <c r="R13" s="751">
        <v>307</v>
      </c>
      <c r="S13" s="750">
        <v>264.02999999999997</v>
      </c>
      <c r="T13" s="751">
        <v>74</v>
      </c>
      <c r="U13" s="750">
        <v>70.760000000000005</v>
      </c>
      <c r="V13" s="751">
        <v>1903</v>
      </c>
      <c r="W13" s="750">
        <v>1436.74</v>
      </c>
      <c r="X13" s="751">
        <v>2769</v>
      </c>
      <c r="Y13" s="750">
        <v>2158.2600000000002</v>
      </c>
      <c r="Z13" s="751">
        <v>70</v>
      </c>
      <c r="AA13" s="750">
        <v>37.92</v>
      </c>
      <c r="AB13" s="751">
        <v>365</v>
      </c>
      <c r="AC13" s="750">
        <v>205.58</v>
      </c>
      <c r="AD13" s="751">
        <v>748</v>
      </c>
      <c r="AE13" s="750">
        <v>755.7</v>
      </c>
      <c r="AF13" s="751">
        <v>3699</v>
      </c>
      <c r="AG13" s="750">
        <v>2626.54</v>
      </c>
      <c r="AH13" s="751">
        <v>731</v>
      </c>
      <c r="AI13" s="750">
        <v>588.36</v>
      </c>
      <c r="AJ13" s="751">
        <v>100</v>
      </c>
      <c r="AK13" s="750">
        <v>117.43</v>
      </c>
      <c r="AL13" s="758"/>
      <c r="AM13" s="750"/>
      <c r="AN13" s="759">
        <v>3054</v>
      </c>
      <c r="AO13" s="753">
        <v>2745.47</v>
      </c>
      <c r="AP13" s="751">
        <v>38</v>
      </c>
      <c r="AQ13" s="750">
        <v>43.29</v>
      </c>
      <c r="AR13" s="760">
        <v>145</v>
      </c>
      <c r="AS13" s="750">
        <v>111.32</v>
      </c>
      <c r="AT13" s="751">
        <v>2853</v>
      </c>
      <c r="AU13" s="750">
        <v>2096.1999999999998</v>
      </c>
      <c r="AV13" s="749">
        <f t="shared" si="0"/>
        <v>20610</v>
      </c>
      <c r="AW13" s="828">
        <f t="shared" si="1"/>
        <v>22141.740000000005</v>
      </c>
      <c r="AX13" s="760">
        <v>4279.74</v>
      </c>
      <c r="AY13" s="750">
        <v>3125.74</v>
      </c>
      <c r="AZ13" s="754">
        <f t="shared" si="2"/>
        <v>24889.739999999998</v>
      </c>
      <c r="BA13" s="831">
        <f t="shared" si="3"/>
        <v>25267.480000000003</v>
      </c>
    </row>
    <row r="14" spans="1:53" x14ac:dyDescent="0.3">
      <c r="A14" s="755" t="s">
        <v>238</v>
      </c>
      <c r="B14" s="756"/>
      <c r="C14" s="750"/>
      <c r="D14" s="751"/>
      <c r="E14" s="750"/>
      <c r="F14" s="751"/>
      <c r="G14" s="750"/>
      <c r="H14" s="751"/>
      <c r="I14" s="750">
        <v>1088.8599999999999</v>
      </c>
      <c r="J14" s="751"/>
      <c r="K14" s="750"/>
      <c r="L14" s="751"/>
      <c r="M14" s="750"/>
      <c r="N14" s="751"/>
      <c r="O14" s="750"/>
      <c r="P14" s="751"/>
      <c r="Q14" s="750"/>
      <c r="R14" s="751"/>
      <c r="S14" s="750"/>
      <c r="T14" s="751"/>
      <c r="U14" s="750"/>
      <c r="V14" s="751"/>
      <c r="W14" s="750"/>
      <c r="X14" s="751"/>
      <c r="Y14" s="750"/>
      <c r="Z14" s="751"/>
      <c r="AA14" s="750"/>
      <c r="AB14" s="751"/>
      <c r="AC14" s="750"/>
      <c r="AD14" s="751"/>
      <c r="AE14" s="750"/>
      <c r="AF14" s="751"/>
      <c r="AG14" s="750"/>
      <c r="AH14" s="751"/>
      <c r="AI14" s="750"/>
      <c r="AJ14" s="751"/>
      <c r="AK14" s="750"/>
      <c r="AL14" s="758"/>
      <c r="AM14" s="750"/>
      <c r="AN14" s="751"/>
      <c r="AO14" s="753"/>
      <c r="AP14" s="751"/>
      <c r="AQ14" s="750"/>
      <c r="AR14" s="760"/>
      <c r="AS14" s="750"/>
      <c r="AT14" s="751"/>
      <c r="AU14" s="750"/>
      <c r="AV14" s="749">
        <f t="shared" si="0"/>
        <v>0</v>
      </c>
      <c r="AW14" s="828">
        <f t="shared" si="1"/>
        <v>1088.8599999999999</v>
      </c>
      <c r="AX14" s="760"/>
      <c r="AY14" s="750"/>
      <c r="AZ14" s="754">
        <f t="shared" si="2"/>
        <v>0</v>
      </c>
      <c r="BA14" s="831">
        <f t="shared" si="3"/>
        <v>1088.8599999999999</v>
      </c>
    </row>
    <row r="15" spans="1:53" x14ac:dyDescent="0.3">
      <c r="A15" s="755" t="s">
        <v>239</v>
      </c>
      <c r="B15" s="756">
        <v>80</v>
      </c>
      <c r="C15" s="750">
        <v>63</v>
      </c>
      <c r="D15" s="751">
        <v>29</v>
      </c>
      <c r="E15" s="750">
        <v>28.88</v>
      </c>
      <c r="F15" s="751">
        <v>39</v>
      </c>
      <c r="G15" s="750">
        <v>39</v>
      </c>
      <c r="H15" s="751">
        <v>80</v>
      </c>
      <c r="I15" s="750">
        <v>71.25</v>
      </c>
      <c r="J15" s="751">
        <v>51</v>
      </c>
      <c r="K15" s="750">
        <v>46.96</v>
      </c>
      <c r="L15" s="751">
        <v>12</v>
      </c>
      <c r="M15" s="750">
        <v>12.5</v>
      </c>
      <c r="N15" s="751">
        <v>26</v>
      </c>
      <c r="O15" s="750">
        <v>26.24</v>
      </c>
      <c r="P15" s="751"/>
      <c r="Q15" s="750"/>
      <c r="R15" s="751">
        <v>36</v>
      </c>
      <c r="S15" s="750">
        <v>29.5</v>
      </c>
      <c r="T15" s="751">
        <v>38</v>
      </c>
      <c r="U15" s="750">
        <v>28.5</v>
      </c>
      <c r="V15" s="751">
        <v>72</v>
      </c>
      <c r="W15" s="750">
        <v>72</v>
      </c>
      <c r="X15" s="751">
        <v>171</v>
      </c>
      <c r="Y15" s="750">
        <v>161.19</v>
      </c>
      <c r="Z15" s="757">
        <v>31</v>
      </c>
      <c r="AA15" s="750">
        <v>33.17</v>
      </c>
      <c r="AB15" s="751">
        <v>27</v>
      </c>
      <c r="AC15" s="750">
        <v>25.38</v>
      </c>
      <c r="AD15" s="761">
        <v>59</v>
      </c>
      <c r="AE15" s="750">
        <v>58.69</v>
      </c>
      <c r="AF15" s="751">
        <v>73</v>
      </c>
      <c r="AG15" s="750">
        <v>67.72</v>
      </c>
      <c r="AH15" s="751">
        <v>56</v>
      </c>
      <c r="AI15" s="750">
        <v>52.5</v>
      </c>
      <c r="AJ15" s="751">
        <v>58</v>
      </c>
      <c r="AK15" s="750">
        <v>49.5</v>
      </c>
      <c r="AL15" s="758"/>
      <c r="AM15" s="750"/>
      <c r="AN15" s="759">
        <v>58</v>
      </c>
      <c r="AO15" s="753">
        <v>46</v>
      </c>
      <c r="AP15" s="751">
        <v>12</v>
      </c>
      <c r="AQ15" s="750">
        <v>12.75</v>
      </c>
      <c r="AR15" s="760">
        <v>43</v>
      </c>
      <c r="AS15" s="750">
        <v>33</v>
      </c>
      <c r="AT15" s="751">
        <v>67</v>
      </c>
      <c r="AU15" s="750">
        <v>53.5</v>
      </c>
      <c r="AV15" s="749">
        <f t="shared" si="0"/>
        <v>1118</v>
      </c>
      <c r="AW15" s="828">
        <f t="shared" si="1"/>
        <v>1011.23</v>
      </c>
      <c r="AX15" s="751">
        <v>663.62</v>
      </c>
      <c r="AY15" s="750">
        <v>410.76</v>
      </c>
      <c r="AZ15" s="754">
        <f t="shared" si="2"/>
        <v>1781.62</v>
      </c>
      <c r="BA15" s="831">
        <f t="shared" si="3"/>
        <v>1421.99</v>
      </c>
    </row>
    <row r="16" spans="1:53" x14ac:dyDescent="0.3">
      <c r="A16" s="755" t="s">
        <v>240</v>
      </c>
      <c r="B16" s="756"/>
      <c r="C16" s="750"/>
      <c r="D16" s="751"/>
      <c r="E16" s="750"/>
      <c r="F16" s="751"/>
      <c r="G16" s="750"/>
      <c r="H16" s="751"/>
      <c r="I16" s="750"/>
      <c r="J16" s="751"/>
      <c r="K16" s="750"/>
      <c r="L16" s="751"/>
      <c r="M16" s="750"/>
      <c r="N16" s="751"/>
      <c r="O16" s="750"/>
      <c r="P16" s="751">
        <v>24</v>
      </c>
      <c r="Q16" s="750">
        <v>21</v>
      </c>
      <c r="R16" s="751"/>
      <c r="S16" s="750"/>
      <c r="T16" s="751"/>
      <c r="U16" s="750"/>
      <c r="V16" s="751"/>
      <c r="W16" s="750"/>
      <c r="X16" s="751"/>
      <c r="Y16" s="750"/>
      <c r="Z16" s="757"/>
      <c r="AA16" s="750"/>
      <c r="AB16" s="751"/>
      <c r="AC16" s="750"/>
      <c r="AD16" s="751"/>
      <c r="AE16" s="750"/>
      <c r="AF16" s="751"/>
      <c r="AG16" s="750"/>
      <c r="AH16" s="751"/>
      <c r="AI16" s="750"/>
      <c r="AJ16" s="751"/>
      <c r="AK16" s="750"/>
      <c r="AL16" s="758"/>
      <c r="AM16" s="750"/>
      <c r="AN16" s="759"/>
      <c r="AO16" s="753"/>
      <c r="AP16" s="751"/>
      <c r="AQ16" s="750"/>
      <c r="AR16" s="760"/>
      <c r="AS16" s="750"/>
      <c r="AT16" s="751"/>
      <c r="AU16" s="750"/>
      <c r="AV16" s="749">
        <f t="shared" si="0"/>
        <v>24</v>
      </c>
      <c r="AW16" s="828">
        <f t="shared" si="1"/>
        <v>21</v>
      </c>
      <c r="AX16" s="751"/>
      <c r="AY16" s="750"/>
      <c r="AZ16" s="754">
        <f t="shared" si="2"/>
        <v>24</v>
      </c>
      <c r="BA16" s="831">
        <f t="shared" si="3"/>
        <v>21</v>
      </c>
    </row>
    <row r="17" spans="1:53" x14ac:dyDescent="0.3">
      <c r="A17" s="755" t="s">
        <v>241</v>
      </c>
      <c r="B17" s="756"/>
      <c r="C17" s="750"/>
      <c r="D17" s="751"/>
      <c r="E17" s="750"/>
      <c r="F17" s="751"/>
      <c r="G17" s="750"/>
      <c r="H17" s="751">
        <v>4</v>
      </c>
      <c r="I17" s="750">
        <v>4</v>
      </c>
      <c r="J17" s="751"/>
      <c r="K17" s="750">
        <v>1.36</v>
      </c>
      <c r="L17" s="751"/>
      <c r="M17" s="750">
        <v>3.5</v>
      </c>
      <c r="N17" s="751"/>
      <c r="O17" s="750"/>
      <c r="P17" s="751"/>
      <c r="Q17" s="750"/>
      <c r="R17" s="751">
        <v>1</v>
      </c>
      <c r="S17" s="750">
        <v>1.1299999999999999</v>
      </c>
      <c r="T17" s="751"/>
      <c r="U17" s="750"/>
      <c r="V17" s="751">
        <v>1</v>
      </c>
      <c r="W17" s="750">
        <v>1.17</v>
      </c>
      <c r="X17" s="751"/>
      <c r="Y17" s="750"/>
      <c r="Z17" s="757"/>
      <c r="AA17" s="750"/>
      <c r="AB17" s="751"/>
      <c r="AC17" s="750"/>
      <c r="AD17" s="751"/>
      <c r="AE17" s="750"/>
      <c r="AF17" s="751">
        <v>2</v>
      </c>
      <c r="AG17" s="750">
        <v>3</v>
      </c>
      <c r="AH17" s="751"/>
      <c r="AI17" s="750"/>
      <c r="AJ17" s="751"/>
      <c r="AK17" s="750"/>
      <c r="AL17" s="758"/>
      <c r="AM17" s="750"/>
      <c r="AN17" s="759"/>
      <c r="AO17" s="753"/>
      <c r="AP17" s="751"/>
      <c r="AQ17" s="750"/>
      <c r="AR17" s="760"/>
      <c r="AS17" s="750"/>
      <c r="AT17" s="751"/>
      <c r="AU17" s="750"/>
      <c r="AV17" s="749">
        <f t="shared" si="0"/>
        <v>8</v>
      </c>
      <c r="AW17" s="828">
        <f t="shared" si="1"/>
        <v>14.159999999999998</v>
      </c>
      <c r="AX17" s="751">
        <v>7.0000000000000007E-2</v>
      </c>
      <c r="AY17" s="750">
        <v>0.19</v>
      </c>
      <c r="AZ17" s="754">
        <f t="shared" si="2"/>
        <v>8.07</v>
      </c>
      <c r="BA17" s="831">
        <f t="shared" si="3"/>
        <v>14.349999999999998</v>
      </c>
    </row>
    <row r="18" spans="1:53" x14ac:dyDescent="0.3">
      <c r="A18" s="755" t="s">
        <v>242</v>
      </c>
      <c r="B18" s="756"/>
      <c r="C18" s="750"/>
      <c r="D18" s="751"/>
      <c r="E18" s="750"/>
      <c r="F18" s="751"/>
      <c r="G18" s="750"/>
      <c r="H18" s="751"/>
      <c r="I18" s="750"/>
      <c r="J18" s="751"/>
      <c r="K18" s="750"/>
      <c r="L18" s="751"/>
      <c r="M18" s="750"/>
      <c r="N18" s="751"/>
      <c r="O18" s="750"/>
      <c r="P18" s="751"/>
      <c r="Q18" s="750"/>
      <c r="R18" s="751"/>
      <c r="S18" s="750"/>
      <c r="T18" s="751"/>
      <c r="U18" s="750"/>
      <c r="V18" s="751"/>
      <c r="W18" s="750"/>
      <c r="X18" s="751"/>
      <c r="Y18" s="750"/>
      <c r="Z18" s="757"/>
      <c r="AA18" s="750"/>
      <c r="AB18" s="751"/>
      <c r="AC18" s="750"/>
      <c r="AD18" s="751"/>
      <c r="AE18" s="750"/>
      <c r="AF18" s="751"/>
      <c r="AG18" s="750"/>
      <c r="AH18" s="751"/>
      <c r="AI18" s="750"/>
      <c r="AJ18" s="751"/>
      <c r="AK18" s="750"/>
      <c r="AL18" s="758"/>
      <c r="AM18" s="750"/>
      <c r="AN18" s="759"/>
      <c r="AO18" s="753"/>
      <c r="AP18" s="751"/>
      <c r="AQ18" s="750"/>
      <c r="AR18" s="760"/>
      <c r="AS18" s="750"/>
      <c r="AT18" s="751"/>
      <c r="AU18" s="750"/>
      <c r="AV18" s="749">
        <f t="shared" si="0"/>
        <v>0</v>
      </c>
      <c r="AW18" s="828">
        <f t="shared" si="1"/>
        <v>0</v>
      </c>
      <c r="AX18" s="751"/>
      <c r="AY18" s="750"/>
      <c r="AZ18" s="754">
        <f t="shared" si="2"/>
        <v>0</v>
      </c>
      <c r="BA18" s="831">
        <f t="shared" si="3"/>
        <v>0</v>
      </c>
    </row>
    <row r="19" spans="1:53" x14ac:dyDescent="0.3">
      <c r="A19" s="755" t="s">
        <v>243</v>
      </c>
      <c r="B19" s="756">
        <v>9</v>
      </c>
      <c r="C19" s="750">
        <v>9</v>
      </c>
      <c r="D19" s="751"/>
      <c r="E19" s="750"/>
      <c r="F19" s="751"/>
      <c r="G19" s="750"/>
      <c r="H19" s="751"/>
      <c r="I19" s="750"/>
      <c r="J19" s="751">
        <v>3</v>
      </c>
      <c r="K19" s="750">
        <v>1.45</v>
      </c>
      <c r="L19" s="751"/>
      <c r="M19" s="750"/>
      <c r="N19" s="751"/>
      <c r="O19" s="750"/>
      <c r="P19" s="751"/>
      <c r="Q19" s="750"/>
      <c r="R19" s="751">
        <v>29</v>
      </c>
      <c r="S19" s="750">
        <v>11.76</v>
      </c>
      <c r="T19" s="751"/>
      <c r="U19" s="750"/>
      <c r="V19" s="751"/>
      <c r="W19" s="750"/>
      <c r="X19" s="751"/>
      <c r="Y19" s="750"/>
      <c r="Z19" s="757"/>
      <c r="AA19" s="750"/>
      <c r="AB19" s="751"/>
      <c r="AC19" s="750"/>
      <c r="AD19" s="751"/>
      <c r="AE19" s="750"/>
      <c r="AF19" s="751">
        <v>45</v>
      </c>
      <c r="AG19" s="750">
        <v>33.75</v>
      </c>
      <c r="AH19" s="751"/>
      <c r="AI19" s="750"/>
      <c r="AJ19" s="751"/>
      <c r="AK19" s="750"/>
      <c r="AL19" s="758"/>
      <c r="AM19" s="750"/>
      <c r="AN19" s="759"/>
      <c r="AO19" s="753"/>
      <c r="AP19" s="751"/>
      <c r="AQ19" s="750"/>
      <c r="AR19" s="760"/>
      <c r="AS19" s="750"/>
      <c r="AT19" s="751"/>
      <c r="AU19" s="750"/>
      <c r="AV19" s="749">
        <f t="shared" si="0"/>
        <v>86</v>
      </c>
      <c r="AW19" s="828">
        <f t="shared" si="1"/>
        <v>55.96</v>
      </c>
      <c r="AX19" s="751"/>
      <c r="AY19" s="750"/>
      <c r="AZ19" s="754">
        <f t="shared" si="2"/>
        <v>86</v>
      </c>
      <c r="BA19" s="831">
        <f t="shared" si="3"/>
        <v>55.96</v>
      </c>
    </row>
    <row r="20" spans="1:53" x14ac:dyDescent="0.3">
      <c r="A20" s="755" t="s">
        <v>244</v>
      </c>
      <c r="B20" s="756"/>
      <c r="C20" s="750"/>
      <c r="D20" s="751">
        <v>1</v>
      </c>
      <c r="E20" s="750">
        <v>0.88</v>
      </c>
      <c r="F20" s="751">
        <v>4</v>
      </c>
      <c r="G20" s="750">
        <v>4</v>
      </c>
      <c r="H20" s="751">
        <v>18</v>
      </c>
      <c r="I20" s="750">
        <v>6.65</v>
      </c>
      <c r="J20" s="751"/>
      <c r="K20" s="750"/>
      <c r="L20" s="751">
        <v>13</v>
      </c>
      <c r="M20" s="750"/>
      <c r="N20" s="751">
        <v>13</v>
      </c>
      <c r="O20" s="750">
        <v>0.27</v>
      </c>
      <c r="P20" s="751">
        <v>6</v>
      </c>
      <c r="Q20" s="750">
        <v>5.25</v>
      </c>
      <c r="R20" s="751"/>
      <c r="S20" s="750"/>
      <c r="T20" s="751">
        <v>7</v>
      </c>
      <c r="U20" s="750">
        <v>15.54</v>
      </c>
      <c r="V20" s="751">
        <v>10</v>
      </c>
      <c r="W20" s="750">
        <v>16.940000000000001</v>
      </c>
      <c r="X20" s="751"/>
      <c r="Y20" s="750"/>
      <c r="Z20" s="757">
        <v>5</v>
      </c>
      <c r="AA20" s="750">
        <v>7.86</v>
      </c>
      <c r="AB20" s="751">
        <v>7</v>
      </c>
      <c r="AC20" s="750">
        <v>1.17</v>
      </c>
      <c r="AD20" s="761"/>
      <c r="AE20" s="750"/>
      <c r="AF20" s="751"/>
      <c r="AG20" s="750"/>
      <c r="AH20" s="762">
        <v>6</v>
      </c>
      <c r="AI20" s="750">
        <v>5.26</v>
      </c>
      <c r="AJ20" s="751">
        <v>16</v>
      </c>
      <c r="AK20" s="750">
        <v>15.45</v>
      </c>
      <c r="AL20" s="758"/>
      <c r="AM20" s="750"/>
      <c r="AN20" s="759">
        <v>20</v>
      </c>
      <c r="AO20" s="753">
        <v>17.190000000000001</v>
      </c>
      <c r="AP20" s="751"/>
      <c r="AQ20" s="750"/>
      <c r="AR20" s="760"/>
      <c r="AS20" s="750"/>
      <c r="AT20" s="751">
        <v>5</v>
      </c>
      <c r="AU20" s="750">
        <v>3.84</v>
      </c>
      <c r="AV20" s="749">
        <f t="shared" si="0"/>
        <v>131</v>
      </c>
      <c r="AW20" s="828">
        <f t="shared" si="1"/>
        <v>100.3</v>
      </c>
      <c r="AX20" s="751">
        <v>6.29</v>
      </c>
      <c r="AY20" s="750"/>
      <c r="AZ20" s="754">
        <f t="shared" si="2"/>
        <v>137.29</v>
      </c>
      <c r="BA20" s="831">
        <f t="shared" si="3"/>
        <v>100.3</v>
      </c>
    </row>
    <row r="21" spans="1:53" ht="17.25" x14ac:dyDescent="0.35">
      <c r="A21" s="755" t="s">
        <v>245</v>
      </c>
      <c r="B21" s="756"/>
      <c r="C21" s="750"/>
      <c r="D21" s="751">
        <v>1</v>
      </c>
      <c r="E21" s="750">
        <v>1.05</v>
      </c>
      <c r="F21" s="751"/>
      <c r="G21" s="750"/>
      <c r="H21" s="751">
        <v>2</v>
      </c>
      <c r="I21" s="750">
        <v>0.89</v>
      </c>
      <c r="J21" s="751"/>
      <c r="K21" s="750"/>
      <c r="L21" s="751"/>
      <c r="M21" s="750"/>
      <c r="N21" s="751">
        <v>1</v>
      </c>
      <c r="O21" s="750">
        <v>19.43</v>
      </c>
      <c r="P21" s="751">
        <v>1</v>
      </c>
      <c r="Q21" s="750">
        <v>1.63</v>
      </c>
      <c r="R21" s="751">
        <v>4</v>
      </c>
      <c r="S21" s="750">
        <v>2.13</v>
      </c>
      <c r="T21" s="751"/>
      <c r="U21" s="750"/>
      <c r="V21" s="751"/>
      <c r="W21" s="750"/>
      <c r="X21" s="751"/>
      <c r="Y21" s="750"/>
      <c r="Z21" s="757"/>
      <c r="AA21" s="750"/>
      <c r="AB21" s="751"/>
      <c r="AC21" s="750"/>
      <c r="AD21" s="751">
        <v>11</v>
      </c>
      <c r="AE21" s="750">
        <v>11.96</v>
      </c>
      <c r="AF21" s="751">
        <v>12</v>
      </c>
      <c r="AG21" s="750">
        <v>13.64</v>
      </c>
      <c r="AH21" s="763"/>
      <c r="AI21" s="750">
        <v>8.8800000000000008</v>
      </c>
      <c r="AJ21" s="751"/>
      <c r="AK21" s="750"/>
      <c r="AL21" s="758"/>
      <c r="AM21" s="750"/>
      <c r="AN21" s="759"/>
      <c r="AO21" s="753">
        <v>0.25</v>
      </c>
      <c r="AP21" s="751"/>
      <c r="AQ21" s="750"/>
      <c r="AR21" s="760"/>
      <c r="AS21" s="750"/>
      <c r="AT21" s="751"/>
      <c r="AU21" s="750">
        <v>0.04</v>
      </c>
      <c r="AV21" s="749">
        <f t="shared" si="0"/>
        <v>32</v>
      </c>
      <c r="AW21" s="828">
        <f t="shared" si="1"/>
        <v>59.900000000000006</v>
      </c>
      <c r="AX21" s="760"/>
      <c r="AY21" s="750"/>
      <c r="AZ21" s="754">
        <f t="shared" si="2"/>
        <v>32</v>
      </c>
      <c r="BA21" s="831">
        <f t="shared" si="3"/>
        <v>59.900000000000006</v>
      </c>
    </row>
    <row r="22" spans="1:53" x14ac:dyDescent="0.3">
      <c r="A22" s="755" t="s">
        <v>246</v>
      </c>
      <c r="B22" s="756">
        <v>24805</v>
      </c>
      <c r="C22" s="750">
        <v>17312</v>
      </c>
      <c r="D22" s="751">
        <v>543</v>
      </c>
      <c r="E22" s="750">
        <v>1587.08</v>
      </c>
      <c r="F22" s="751">
        <v>960</v>
      </c>
      <c r="G22" s="750">
        <v>592</v>
      </c>
      <c r="H22" s="751">
        <v>21402</v>
      </c>
      <c r="I22" s="750">
        <v>12305.56</v>
      </c>
      <c r="J22" s="751">
        <v>13460</v>
      </c>
      <c r="K22" s="750">
        <v>9616.5300000000007</v>
      </c>
      <c r="L22" s="751">
        <v>1785</v>
      </c>
      <c r="M22" s="750">
        <v>2259.79</v>
      </c>
      <c r="N22" s="751">
        <v>134</v>
      </c>
      <c r="O22" s="750">
        <v>28.58</v>
      </c>
      <c r="P22" s="751">
        <v>3927</v>
      </c>
      <c r="Q22" s="750">
        <v>4459.51</v>
      </c>
      <c r="R22" s="751">
        <v>1444</v>
      </c>
      <c r="S22" s="750">
        <v>1552.66</v>
      </c>
      <c r="T22" s="751">
        <v>134</v>
      </c>
      <c r="U22" s="750">
        <v>1334.95</v>
      </c>
      <c r="V22" s="751">
        <v>126093</v>
      </c>
      <c r="W22" s="750">
        <v>96696.07</v>
      </c>
      <c r="X22" s="751">
        <v>71727</v>
      </c>
      <c r="Y22" s="750">
        <v>57688.59</v>
      </c>
      <c r="Z22" s="757">
        <v>1639</v>
      </c>
      <c r="AA22" s="750">
        <v>1525.47</v>
      </c>
      <c r="AB22" s="751">
        <v>491</v>
      </c>
      <c r="AC22" s="750">
        <v>336</v>
      </c>
      <c r="AD22" s="751">
        <v>9542</v>
      </c>
      <c r="AE22" s="750">
        <v>7962.58</v>
      </c>
      <c r="AF22" s="751">
        <v>39510</v>
      </c>
      <c r="AG22" s="750">
        <v>21238.43</v>
      </c>
      <c r="AH22" s="751">
        <v>6025</v>
      </c>
      <c r="AI22" s="750">
        <v>4986.0600000000004</v>
      </c>
      <c r="AJ22" s="751">
        <v>4874</v>
      </c>
      <c r="AK22" s="750">
        <v>4926.6000000000004</v>
      </c>
      <c r="AL22" s="758"/>
      <c r="AM22" s="750"/>
      <c r="AN22" s="759">
        <v>4968</v>
      </c>
      <c r="AO22" s="753">
        <v>1838.36</v>
      </c>
      <c r="AP22" s="751">
        <v>4</v>
      </c>
      <c r="AQ22" s="750">
        <v>1595.35</v>
      </c>
      <c r="AR22" s="760">
        <v>1399</v>
      </c>
      <c r="AS22" s="750">
        <v>366</v>
      </c>
      <c r="AT22" s="751">
        <v>48441</v>
      </c>
      <c r="AU22" s="750">
        <v>28232.83</v>
      </c>
      <c r="AV22" s="749">
        <f t="shared" si="0"/>
        <v>383307</v>
      </c>
      <c r="AW22" s="828">
        <f t="shared" si="1"/>
        <v>278441</v>
      </c>
      <c r="AX22" s="760">
        <v>30528.12</v>
      </c>
      <c r="AY22" s="750">
        <v>18081.060000000001</v>
      </c>
      <c r="AZ22" s="754">
        <f t="shared" si="2"/>
        <v>413835.12</v>
      </c>
      <c r="BA22" s="831">
        <f t="shared" si="3"/>
        <v>296522.06</v>
      </c>
    </row>
    <row r="23" spans="1:53" x14ac:dyDescent="0.3">
      <c r="A23" s="755" t="s">
        <v>247</v>
      </c>
      <c r="B23" s="756">
        <v>914</v>
      </c>
      <c r="C23" s="750">
        <v>880</v>
      </c>
      <c r="D23" s="751">
        <v>162</v>
      </c>
      <c r="E23" s="750">
        <v>218.49</v>
      </c>
      <c r="F23" s="751">
        <v>114</v>
      </c>
      <c r="G23" s="750">
        <v>147</v>
      </c>
      <c r="H23" s="751">
        <v>603</v>
      </c>
      <c r="I23" s="750">
        <v>515.07000000000005</v>
      </c>
      <c r="J23" s="751">
        <v>243</v>
      </c>
      <c r="K23" s="750">
        <v>320.43</v>
      </c>
      <c r="L23" s="751">
        <v>560</v>
      </c>
      <c r="M23" s="750">
        <v>402.06</v>
      </c>
      <c r="N23" s="751">
        <v>136</v>
      </c>
      <c r="O23" s="750">
        <v>133.15</v>
      </c>
      <c r="P23" s="751">
        <v>200</v>
      </c>
      <c r="Q23" s="750">
        <v>193.29</v>
      </c>
      <c r="R23" s="751">
        <v>470</v>
      </c>
      <c r="S23" s="750">
        <v>380.15</v>
      </c>
      <c r="T23" s="751">
        <v>128</v>
      </c>
      <c r="U23" s="750">
        <v>183.9</v>
      </c>
      <c r="V23" s="751">
        <v>1660</v>
      </c>
      <c r="W23" s="750">
        <v>1239</v>
      </c>
      <c r="X23" s="751">
        <v>2301</v>
      </c>
      <c r="Y23" s="750">
        <v>1672.44</v>
      </c>
      <c r="Z23" s="757">
        <v>168</v>
      </c>
      <c r="AA23" s="750">
        <v>157.69999999999999</v>
      </c>
      <c r="AB23" s="751">
        <v>208</v>
      </c>
      <c r="AC23" s="750">
        <v>179.64</v>
      </c>
      <c r="AD23" s="751">
        <v>664</v>
      </c>
      <c r="AE23" s="750">
        <v>590.79</v>
      </c>
      <c r="AF23" s="761">
        <v>1506</v>
      </c>
      <c r="AG23" s="750">
        <v>1272.74</v>
      </c>
      <c r="AH23" s="751">
        <v>519</v>
      </c>
      <c r="AI23" s="750">
        <v>384.45</v>
      </c>
      <c r="AJ23" s="751">
        <v>488</v>
      </c>
      <c r="AK23" s="750">
        <v>488.05</v>
      </c>
      <c r="AL23" s="758"/>
      <c r="AM23" s="750"/>
      <c r="AN23" s="759">
        <v>740</v>
      </c>
      <c r="AO23" s="753">
        <v>575.61</v>
      </c>
      <c r="AP23" s="751">
        <v>67</v>
      </c>
      <c r="AQ23" s="750">
        <v>58.75</v>
      </c>
      <c r="AR23" s="760">
        <v>21</v>
      </c>
      <c r="AS23" s="750">
        <v>20</v>
      </c>
      <c r="AT23" s="751">
        <v>1319</v>
      </c>
      <c r="AU23" s="750">
        <v>997.49</v>
      </c>
      <c r="AV23" s="749">
        <f t="shared" si="0"/>
        <v>13191</v>
      </c>
      <c r="AW23" s="828">
        <f t="shared" si="1"/>
        <v>11010.2</v>
      </c>
      <c r="AX23" s="760">
        <v>4881.1400000000003</v>
      </c>
      <c r="AY23" s="750">
        <v>6263.28</v>
      </c>
      <c r="AZ23" s="754">
        <f t="shared" si="2"/>
        <v>18072.14</v>
      </c>
      <c r="BA23" s="831">
        <f t="shared" si="3"/>
        <v>17273.48</v>
      </c>
    </row>
    <row r="24" spans="1:53" x14ac:dyDescent="0.3">
      <c r="A24" s="755" t="s">
        <v>248</v>
      </c>
      <c r="B24" s="756"/>
      <c r="C24" s="750"/>
      <c r="D24" s="751"/>
      <c r="E24" s="750"/>
      <c r="F24" s="751">
        <v>158</v>
      </c>
      <c r="G24" s="750">
        <v>189</v>
      </c>
      <c r="H24" s="751"/>
      <c r="I24" s="750"/>
      <c r="J24" s="751">
        <v>2027</v>
      </c>
      <c r="K24" s="750">
        <v>1866.46</v>
      </c>
      <c r="L24" s="751"/>
      <c r="M24" s="750"/>
      <c r="N24" s="751">
        <v>42</v>
      </c>
      <c r="O24" s="750">
        <v>21.33</v>
      </c>
      <c r="P24" s="751"/>
      <c r="Q24" s="750"/>
      <c r="R24" s="751">
        <v>288</v>
      </c>
      <c r="S24" s="750">
        <v>281.32</v>
      </c>
      <c r="T24" s="751"/>
      <c r="U24" s="750"/>
      <c r="V24" s="751"/>
      <c r="W24" s="750"/>
      <c r="X24" s="751"/>
      <c r="Y24" s="750"/>
      <c r="Z24" s="757"/>
      <c r="AA24" s="750"/>
      <c r="AB24" s="751"/>
      <c r="AC24" s="750"/>
      <c r="AD24" s="751"/>
      <c r="AE24" s="750"/>
      <c r="AF24" s="751"/>
      <c r="AG24" s="750">
        <v>1229.83</v>
      </c>
      <c r="AH24" s="751"/>
      <c r="AI24" s="750">
        <v>482.48</v>
      </c>
      <c r="AJ24" s="751"/>
      <c r="AK24" s="750"/>
      <c r="AL24" s="758"/>
      <c r="AM24" s="750"/>
      <c r="AN24" s="759"/>
      <c r="AO24" s="753">
        <v>48.81</v>
      </c>
      <c r="AP24" s="751"/>
      <c r="AQ24" s="750"/>
      <c r="AR24" s="760"/>
      <c r="AS24" s="750"/>
      <c r="AT24" s="751"/>
      <c r="AU24" s="750"/>
      <c r="AV24" s="749">
        <f t="shared" si="0"/>
        <v>2515</v>
      </c>
      <c r="AW24" s="828">
        <f t="shared" si="1"/>
        <v>4119.2300000000005</v>
      </c>
      <c r="AX24" s="760"/>
      <c r="AY24" s="750"/>
      <c r="AZ24" s="754">
        <f t="shared" si="2"/>
        <v>2515</v>
      </c>
      <c r="BA24" s="831">
        <f t="shared" si="3"/>
        <v>4119.2300000000005</v>
      </c>
    </row>
    <row r="25" spans="1:53" x14ac:dyDescent="0.3">
      <c r="A25" s="755" t="s">
        <v>249</v>
      </c>
      <c r="B25" s="756">
        <v>5854</v>
      </c>
      <c r="C25" s="750">
        <v>5058</v>
      </c>
      <c r="D25" s="751">
        <v>2573</v>
      </c>
      <c r="E25" s="750">
        <v>2029.38</v>
      </c>
      <c r="F25" s="751">
        <v>1764</v>
      </c>
      <c r="G25" s="750">
        <v>2086</v>
      </c>
      <c r="H25" s="751">
        <v>6515</v>
      </c>
      <c r="I25" s="750">
        <v>5426.03</v>
      </c>
      <c r="J25" s="751">
        <v>5015</v>
      </c>
      <c r="K25" s="750">
        <v>4128.1499999999996</v>
      </c>
      <c r="L25" s="751">
        <v>3797</v>
      </c>
      <c r="M25" s="750">
        <v>3101.36</v>
      </c>
      <c r="N25" s="751">
        <v>965</v>
      </c>
      <c r="O25" s="750">
        <v>862.22</v>
      </c>
      <c r="P25" s="751">
        <v>1709</v>
      </c>
      <c r="Q25" s="750">
        <v>1695.99</v>
      </c>
      <c r="R25" s="751">
        <v>2382</v>
      </c>
      <c r="S25" s="750"/>
      <c r="T25" s="751">
        <v>1089</v>
      </c>
      <c r="U25" s="750">
        <v>853.69</v>
      </c>
      <c r="V25" s="751">
        <v>11837</v>
      </c>
      <c r="W25" s="750">
        <v>9136.7999999999993</v>
      </c>
      <c r="X25" s="751"/>
      <c r="Y25" s="750">
        <v>6934.71</v>
      </c>
      <c r="Z25" s="757">
        <v>1541</v>
      </c>
      <c r="AA25" s="750">
        <v>1222.57</v>
      </c>
      <c r="AB25" s="751">
        <v>4286</v>
      </c>
      <c r="AC25" s="750">
        <v>3527.6</v>
      </c>
      <c r="AD25" s="761">
        <v>3204</v>
      </c>
      <c r="AE25" s="750">
        <v>2911.67</v>
      </c>
      <c r="AF25" s="751">
        <v>6053</v>
      </c>
      <c r="AG25" s="750">
        <v>5112.53</v>
      </c>
      <c r="AH25" s="751">
        <v>5361</v>
      </c>
      <c r="AI25" s="750">
        <v>4642.3</v>
      </c>
      <c r="AJ25" s="751">
        <v>2309</v>
      </c>
      <c r="AK25" s="750">
        <v>2298.4699999999998</v>
      </c>
      <c r="AL25" s="758"/>
      <c r="AM25" s="750"/>
      <c r="AN25" s="759">
        <v>8832</v>
      </c>
      <c r="AO25" s="753">
        <v>7674</v>
      </c>
      <c r="AP25" s="751">
        <v>1106</v>
      </c>
      <c r="AQ25" s="750">
        <v>860.9</v>
      </c>
      <c r="AR25" s="760">
        <v>1466</v>
      </c>
      <c r="AS25" s="750">
        <v>1296.6099999999999</v>
      </c>
      <c r="AT25" s="751">
        <v>6542</v>
      </c>
      <c r="AU25" s="750">
        <v>4264.8100000000004</v>
      </c>
      <c r="AV25" s="749">
        <f t="shared" si="0"/>
        <v>84200</v>
      </c>
      <c r="AW25" s="828">
        <f t="shared" si="1"/>
        <v>75123.789999999994</v>
      </c>
      <c r="AX25" s="751"/>
      <c r="AY25" s="750"/>
      <c r="AZ25" s="754">
        <f t="shared" si="2"/>
        <v>84200</v>
      </c>
      <c r="BA25" s="831">
        <f t="shared" si="3"/>
        <v>75123.789999999994</v>
      </c>
    </row>
    <row r="26" spans="1:53" x14ac:dyDescent="0.3">
      <c r="A26" s="755" t="s">
        <v>250</v>
      </c>
      <c r="B26" s="756"/>
      <c r="C26" s="750"/>
      <c r="D26" s="751">
        <v>12</v>
      </c>
      <c r="E26" s="750">
        <v>0.19</v>
      </c>
      <c r="F26" s="751">
        <v>90</v>
      </c>
      <c r="G26" s="750">
        <v>96</v>
      </c>
      <c r="H26" s="751">
        <v>2234</v>
      </c>
      <c r="I26" s="750"/>
      <c r="J26" s="751"/>
      <c r="K26" s="750"/>
      <c r="L26" s="751"/>
      <c r="M26" s="750"/>
      <c r="N26" s="751">
        <v>76</v>
      </c>
      <c r="O26" s="750"/>
      <c r="P26" s="751">
        <v>211</v>
      </c>
      <c r="Q26" s="750">
        <v>143.06</v>
      </c>
      <c r="R26" s="751">
        <v>463</v>
      </c>
      <c r="S26" s="750">
        <v>1153.8599999999999</v>
      </c>
      <c r="T26" s="751">
        <v>13</v>
      </c>
      <c r="U26" s="750">
        <v>46.42</v>
      </c>
      <c r="V26" s="751">
        <v>829</v>
      </c>
      <c r="W26" s="750">
        <v>565.49</v>
      </c>
      <c r="X26" s="751"/>
      <c r="Y26" s="750">
        <v>289.12</v>
      </c>
      <c r="Z26" s="757"/>
      <c r="AA26" s="750"/>
      <c r="AB26" s="751"/>
      <c r="AC26" s="750"/>
      <c r="AD26" s="751">
        <v>645</v>
      </c>
      <c r="AE26" s="750">
        <v>467.55</v>
      </c>
      <c r="AF26" s="751">
        <v>515</v>
      </c>
      <c r="AG26" s="750">
        <v>1175.21</v>
      </c>
      <c r="AH26" s="751">
        <v>415</v>
      </c>
      <c r="AI26" s="750"/>
      <c r="AJ26" s="751"/>
      <c r="AK26" s="750"/>
      <c r="AL26" s="758"/>
      <c r="AM26" s="750"/>
      <c r="AN26" s="759">
        <v>1741</v>
      </c>
      <c r="AO26" s="753">
        <v>1534.7</v>
      </c>
      <c r="AP26" s="751">
        <v>74</v>
      </c>
      <c r="AQ26" s="750">
        <v>17.78</v>
      </c>
      <c r="AR26" s="760">
        <v>187</v>
      </c>
      <c r="AS26" s="750">
        <v>339.82</v>
      </c>
      <c r="AT26" s="751"/>
      <c r="AU26" s="750"/>
      <c r="AV26" s="749">
        <f t="shared" si="0"/>
        <v>7505</v>
      </c>
      <c r="AW26" s="828">
        <f t="shared" si="1"/>
        <v>5829.2</v>
      </c>
      <c r="AX26" s="760">
        <v>177056.08</v>
      </c>
      <c r="AY26" s="750">
        <v>190878.88</v>
      </c>
      <c r="AZ26" s="754">
        <f t="shared" si="2"/>
        <v>184561.08</v>
      </c>
      <c r="BA26" s="831">
        <f t="shared" si="3"/>
        <v>196708.08000000002</v>
      </c>
    </row>
    <row r="27" spans="1:53" x14ac:dyDescent="0.3">
      <c r="A27" s="755" t="s">
        <v>251</v>
      </c>
      <c r="B27" s="756">
        <v>1972</v>
      </c>
      <c r="C27" s="750">
        <v>2099</v>
      </c>
      <c r="D27" s="751">
        <v>259</v>
      </c>
      <c r="E27" s="750">
        <v>362.81</v>
      </c>
      <c r="F27" s="751">
        <v>289</v>
      </c>
      <c r="G27" s="750">
        <v>328</v>
      </c>
      <c r="H27" s="751">
        <v>4459</v>
      </c>
      <c r="I27" s="750">
        <v>2832.38</v>
      </c>
      <c r="J27" s="751">
        <v>270</v>
      </c>
      <c r="K27" s="750"/>
      <c r="L27" s="751">
        <v>568</v>
      </c>
      <c r="M27" s="750"/>
      <c r="N27" s="751">
        <v>459</v>
      </c>
      <c r="O27" s="750">
        <v>353.6</v>
      </c>
      <c r="P27" s="751">
        <v>210</v>
      </c>
      <c r="Q27" s="750">
        <v>250.05</v>
      </c>
      <c r="R27" s="751">
        <v>673</v>
      </c>
      <c r="S27" s="750"/>
      <c r="T27" s="751">
        <v>279</v>
      </c>
      <c r="U27" s="750"/>
      <c r="V27" s="751">
        <v>7843</v>
      </c>
      <c r="W27" s="750">
        <v>6476.55</v>
      </c>
      <c r="X27" s="751"/>
      <c r="Y27" s="750"/>
      <c r="Z27" s="757">
        <v>161</v>
      </c>
      <c r="AA27" s="750">
        <v>102.62</v>
      </c>
      <c r="AB27" s="751">
        <v>1982</v>
      </c>
      <c r="AC27" s="750">
        <v>1285.98</v>
      </c>
      <c r="AD27" s="751">
        <v>3116</v>
      </c>
      <c r="AE27" s="750">
        <v>2941.92</v>
      </c>
      <c r="AF27" s="751">
        <v>4077</v>
      </c>
      <c r="AG27" s="750">
        <v>6997.45</v>
      </c>
      <c r="AH27" s="751">
        <v>3134</v>
      </c>
      <c r="AI27" s="750"/>
      <c r="AJ27" s="751">
        <v>231</v>
      </c>
      <c r="AK27" s="750">
        <v>241.36</v>
      </c>
      <c r="AL27" s="758"/>
      <c r="AM27" s="750"/>
      <c r="AN27" s="759">
        <v>7965</v>
      </c>
      <c r="AO27" s="753">
        <v>7456.97</v>
      </c>
      <c r="AP27" s="751">
        <v>455</v>
      </c>
      <c r="AQ27" s="750"/>
      <c r="AR27" s="760">
        <v>1581</v>
      </c>
      <c r="AS27" s="750">
        <v>733.71</v>
      </c>
      <c r="AT27" s="751">
        <v>4408</v>
      </c>
      <c r="AU27" s="750">
        <v>3541.54</v>
      </c>
      <c r="AV27" s="749">
        <f t="shared" si="0"/>
        <v>44391</v>
      </c>
      <c r="AW27" s="828">
        <f t="shared" si="1"/>
        <v>36003.94</v>
      </c>
      <c r="AX27" s="760">
        <v>19295.939999999999</v>
      </c>
      <c r="AY27" s="750">
        <v>13511.06</v>
      </c>
      <c r="AZ27" s="754">
        <f t="shared" si="2"/>
        <v>63686.94</v>
      </c>
      <c r="BA27" s="831">
        <f t="shared" si="3"/>
        <v>49515</v>
      </c>
    </row>
    <row r="28" spans="1:53" x14ac:dyDescent="0.3">
      <c r="A28" s="755" t="s">
        <v>252</v>
      </c>
      <c r="B28" s="756">
        <v>2546</v>
      </c>
      <c r="C28" s="750">
        <v>2486</v>
      </c>
      <c r="D28" s="751">
        <v>2626</v>
      </c>
      <c r="E28" s="750">
        <v>2136.1999999999998</v>
      </c>
      <c r="F28" s="751">
        <v>614</v>
      </c>
      <c r="G28" s="750">
        <v>588</v>
      </c>
      <c r="H28" s="751">
        <v>3077</v>
      </c>
      <c r="I28" s="750">
        <v>2809.54</v>
      </c>
      <c r="J28" s="751">
        <v>605</v>
      </c>
      <c r="K28" s="750">
        <v>818.74</v>
      </c>
      <c r="L28" s="751">
        <v>1227</v>
      </c>
      <c r="M28" s="750">
        <v>402.06</v>
      </c>
      <c r="N28" s="751">
        <v>1016</v>
      </c>
      <c r="O28" s="750">
        <v>1271.08</v>
      </c>
      <c r="P28" s="751">
        <v>2510</v>
      </c>
      <c r="Q28" s="750">
        <v>2232.42</v>
      </c>
      <c r="R28" s="751">
        <v>1136</v>
      </c>
      <c r="S28" s="750">
        <v>1037.42</v>
      </c>
      <c r="T28" s="751">
        <v>1720</v>
      </c>
      <c r="U28" s="750">
        <v>1853.42</v>
      </c>
      <c r="V28" s="751">
        <v>3968</v>
      </c>
      <c r="W28" s="750">
        <v>3778.26</v>
      </c>
      <c r="X28" s="751">
        <v>4902</v>
      </c>
      <c r="Y28" s="750">
        <v>4504.21</v>
      </c>
      <c r="Z28" s="757">
        <v>594</v>
      </c>
      <c r="AA28" s="750">
        <v>707.91</v>
      </c>
      <c r="AB28" s="751">
        <v>1233</v>
      </c>
      <c r="AC28" s="750">
        <v>1856.26</v>
      </c>
      <c r="AD28" s="751">
        <v>3368</v>
      </c>
      <c r="AE28" s="750">
        <v>3168.45</v>
      </c>
      <c r="AF28" s="751">
        <v>7328</v>
      </c>
      <c r="AG28" s="750">
        <v>6385.52</v>
      </c>
      <c r="AH28" s="751">
        <v>3108</v>
      </c>
      <c r="AI28" s="750">
        <v>3329.61</v>
      </c>
      <c r="AJ28" s="751">
        <v>2610</v>
      </c>
      <c r="AK28" s="750">
        <v>2315.23</v>
      </c>
      <c r="AL28" s="758"/>
      <c r="AM28" s="750"/>
      <c r="AN28" s="759">
        <v>5738</v>
      </c>
      <c r="AO28" s="753">
        <v>7858.68</v>
      </c>
      <c r="AP28" s="751">
        <v>1538</v>
      </c>
      <c r="AQ28" s="750">
        <v>1266.25</v>
      </c>
      <c r="AR28" s="760">
        <v>851</v>
      </c>
      <c r="AS28" s="750">
        <v>770.15</v>
      </c>
      <c r="AT28" s="751">
        <v>4122</v>
      </c>
      <c r="AU28" s="750">
        <v>3921.15</v>
      </c>
      <c r="AV28" s="749">
        <f t="shared" si="0"/>
        <v>56437</v>
      </c>
      <c r="AW28" s="828">
        <f t="shared" si="1"/>
        <v>55496.560000000005</v>
      </c>
      <c r="AX28" s="760">
        <v>34039.61</v>
      </c>
      <c r="AY28" s="750">
        <v>29841.27</v>
      </c>
      <c r="AZ28" s="754">
        <f t="shared" si="2"/>
        <v>90476.61</v>
      </c>
      <c r="BA28" s="831">
        <f t="shared" si="3"/>
        <v>85337.83</v>
      </c>
    </row>
    <row r="29" spans="1:53" x14ac:dyDescent="0.3">
      <c r="A29" s="755" t="s">
        <v>253</v>
      </c>
      <c r="B29" s="756">
        <v>87</v>
      </c>
      <c r="C29" s="750">
        <v>8</v>
      </c>
      <c r="D29" s="751"/>
      <c r="E29" s="750"/>
      <c r="F29" s="751"/>
      <c r="G29" s="750"/>
      <c r="H29" s="751"/>
      <c r="I29" s="750"/>
      <c r="J29" s="751">
        <v>1</v>
      </c>
      <c r="K29" s="750"/>
      <c r="L29" s="751"/>
      <c r="M29" s="750"/>
      <c r="N29" s="751">
        <v>28</v>
      </c>
      <c r="O29" s="750">
        <v>1.97</v>
      </c>
      <c r="P29" s="751">
        <v>46</v>
      </c>
      <c r="Q29" s="750"/>
      <c r="R29" s="751"/>
      <c r="S29" s="750"/>
      <c r="T29" s="751"/>
      <c r="U29" s="750"/>
      <c r="V29" s="751"/>
      <c r="W29" s="750"/>
      <c r="X29" s="751"/>
      <c r="Y29" s="750"/>
      <c r="Z29" s="757"/>
      <c r="AA29" s="750"/>
      <c r="AB29" s="751"/>
      <c r="AC29" s="750"/>
      <c r="AD29" s="751"/>
      <c r="AE29" s="750"/>
      <c r="AF29" s="751"/>
      <c r="AG29" s="750">
        <v>14.68</v>
      </c>
      <c r="AH29" s="751"/>
      <c r="AI29" s="750"/>
      <c r="AJ29" s="751"/>
      <c r="AK29" s="750"/>
      <c r="AL29" s="758"/>
      <c r="AM29" s="750"/>
      <c r="AN29" s="759"/>
      <c r="AO29" s="753"/>
      <c r="AP29" s="751"/>
      <c r="AQ29" s="750"/>
      <c r="AR29" s="760"/>
      <c r="AS29" s="750"/>
      <c r="AT29" s="751"/>
      <c r="AU29" s="750"/>
      <c r="AV29" s="749">
        <f t="shared" si="0"/>
        <v>162</v>
      </c>
      <c r="AW29" s="828">
        <f t="shared" si="1"/>
        <v>24.65</v>
      </c>
      <c r="AX29" s="760"/>
      <c r="AY29" s="750"/>
      <c r="AZ29" s="754">
        <f t="shared" si="2"/>
        <v>162</v>
      </c>
      <c r="BA29" s="831">
        <f t="shared" si="3"/>
        <v>24.65</v>
      </c>
    </row>
    <row r="30" spans="1:53" x14ac:dyDescent="0.3">
      <c r="A30" s="755" t="s">
        <v>254</v>
      </c>
      <c r="B30" s="756"/>
      <c r="C30" s="750"/>
      <c r="D30" s="751"/>
      <c r="E30" s="750"/>
      <c r="F30" s="751"/>
      <c r="G30" s="750"/>
      <c r="H30" s="751"/>
      <c r="I30" s="750"/>
      <c r="J30" s="751"/>
      <c r="K30" s="750"/>
      <c r="L30" s="751"/>
      <c r="M30" s="750"/>
      <c r="N30" s="751"/>
      <c r="O30" s="750"/>
      <c r="P30" s="751"/>
      <c r="Q30" s="750"/>
      <c r="R30" s="751"/>
      <c r="S30" s="750"/>
      <c r="T30" s="751"/>
      <c r="U30" s="750"/>
      <c r="V30" s="751"/>
      <c r="W30" s="750"/>
      <c r="X30" s="751"/>
      <c r="Y30" s="750"/>
      <c r="Z30" s="757"/>
      <c r="AA30" s="750"/>
      <c r="AB30" s="751"/>
      <c r="AC30" s="750"/>
      <c r="AD30" s="751"/>
      <c r="AE30" s="750"/>
      <c r="AF30" s="751"/>
      <c r="AG30" s="750"/>
      <c r="AH30" s="751"/>
      <c r="AI30" s="750"/>
      <c r="AJ30" s="751"/>
      <c r="AK30" s="750"/>
      <c r="AL30" s="758"/>
      <c r="AM30" s="750"/>
      <c r="AN30" s="759"/>
      <c r="AO30" s="753"/>
      <c r="AP30" s="751"/>
      <c r="AQ30" s="750"/>
      <c r="AR30" s="760"/>
      <c r="AS30" s="750"/>
      <c r="AT30" s="751"/>
      <c r="AU30" s="750"/>
      <c r="AV30" s="749">
        <f t="shared" si="0"/>
        <v>0</v>
      </c>
      <c r="AW30" s="828">
        <f t="shared" si="1"/>
        <v>0</v>
      </c>
      <c r="AX30" s="760"/>
      <c r="AY30" s="750"/>
      <c r="AZ30" s="754">
        <f t="shared" si="2"/>
        <v>0</v>
      </c>
      <c r="BA30" s="831">
        <f t="shared" si="3"/>
        <v>0</v>
      </c>
    </row>
    <row r="31" spans="1:53" x14ac:dyDescent="0.3">
      <c r="A31" s="755" t="s">
        <v>255</v>
      </c>
      <c r="B31" s="756">
        <v>305</v>
      </c>
      <c r="C31" s="750">
        <v>58</v>
      </c>
      <c r="D31" s="751">
        <v>24</v>
      </c>
      <c r="E31" s="750">
        <v>106.92</v>
      </c>
      <c r="F31" s="751">
        <v>213</v>
      </c>
      <c r="G31" s="750">
        <v>413</v>
      </c>
      <c r="H31" s="751">
        <v>3266</v>
      </c>
      <c r="I31" s="750">
        <v>881.99</v>
      </c>
      <c r="J31" s="751"/>
      <c r="K31" s="750"/>
      <c r="L31" s="751">
        <v>1291</v>
      </c>
      <c r="M31" s="750"/>
      <c r="N31" s="751">
        <v>-141</v>
      </c>
      <c r="O31" s="750">
        <v>70.94</v>
      </c>
      <c r="P31" s="751">
        <v>3279</v>
      </c>
      <c r="Q31" s="750">
        <v>2503.64</v>
      </c>
      <c r="R31" s="751">
        <v>10985</v>
      </c>
      <c r="S31" s="750">
        <v>9027.83</v>
      </c>
      <c r="T31" s="751">
        <v>2335</v>
      </c>
      <c r="U31" s="750"/>
      <c r="V31" s="751">
        <f>28371+12616</f>
        <v>40987</v>
      </c>
      <c r="W31" s="750">
        <v>37160.83</v>
      </c>
      <c r="X31" s="751"/>
      <c r="Y31" s="750">
        <v>2901.18</v>
      </c>
      <c r="Z31" s="757">
        <v>1289</v>
      </c>
      <c r="AA31" s="750">
        <v>637.78</v>
      </c>
      <c r="AB31" s="751">
        <v>11240</v>
      </c>
      <c r="AC31" s="750">
        <v>5569</v>
      </c>
      <c r="AD31" s="751">
        <v>3167</v>
      </c>
      <c r="AE31" s="750">
        <v>2481.56</v>
      </c>
      <c r="AF31" s="751">
        <v>216</v>
      </c>
      <c r="AG31" s="750"/>
      <c r="AH31" s="751">
        <v>5162</v>
      </c>
      <c r="AI31" s="750">
        <v>1306</v>
      </c>
      <c r="AJ31" s="751">
        <v>1740</v>
      </c>
      <c r="AK31" s="750">
        <v>1796.26</v>
      </c>
      <c r="AL31" s="758"/>
      <c r="AM31" s="750"/>
      <c r="AN31" s="759">
        <v>15239</v>
      </c>
      <c r="AO31" s="753"/>
      <c r="AP31" s="751">
        <v>2595</v>
      </c>
      <c r="AQ31" s="750"/>
      <c r="AR31" s="760">
        <v>1371</v>
      </c>
      <c r="AS31" s="750">
        <v>654.57000000000005</v>
      </c>
      <c r="AT31" s="751">
        <v>1520</v>
      </c>
      <c r="AU31" s="750">
        <v>793.69</v>
      </c>
      <c r="AV31" s="749">
        <f t="shared" si="0"/>
        <v>106083</v>
      </c>
      <c r="AW31" s="828">
        <f t="shared" si="1"/>
        <v>66363.19</v>
      </c>
      <c r="AX31" s="760"/>
      <c r="AY31" s="750"/>
      <c r="AZ31" s="754">
        <f t="shared" si="2"/>
        <v>106083</v>
      </c>
      <c r="BA31" s="831">
        <f t="shared" si="3"/>
        <v>66363.19</v>
      </c>
    </row>
    <row r="32" spans="1:53" x14ac:dyDescent="0.3">
      <c r="A32" s="755" t="s">
        <v>256</v>
      </c>
      <c r="B32" s="756"/>
      <c r="C32" s="750"/>
      <c r="D32" s="751">
        <v>330</v>
      </c>
      <c r="E32" s="750">
        <v>435.04</v>
      </c>
      <c r="F32" s="751"/>
      <c r="G32" s="750"/>
      <c r="H32" s="751"/>
      <c r="I32" s="750"/>
      <c r="J32" s="751"/>
      <c r="K32" s="750"/>
      <c r="L32" s="751"/>
      <c r="M32" s="750"/>
      <c r="N32" s="751"/>
      <c r="O32" s="750"/>
      <c r="P32" s="751">
        <v>779</v>
      </c>
      <c r="Q32" s="750">
        <v>1227.31</v>
      </c>
      <c r="R32" s="751"/>
      <c r="S32" s="750"/>
      <c r="T32" s="751"/>
      <c r="U32" s="750"/>
      <c r="V32" s="751"/>
      <c r="W32" s="750"/>
      <c r="X32" s="751"/>
      <c r="Y32" s="750"/>
      <c r="Z32" s="757"/>
      <c r="AA32" s="750"/>
      <c r="AB32" s="751">
        <v>225</v>
      </c>
      <c r="AC32" s="750">
        <v>222.94</v>
      </c>
      <c r="AD32" s="751"/>
      <c r="AE32" s="750"/>
      <c r="AF32" s="751"/>
      <c r="AG32" s="750"/>
      <c r="AH32" s="751"/>
      <c r="AI32" s="750"/>
      <c r="AJ32" s="751">
        <v>1873</v>
      </c>
      <c r="AK32" s="750">
        <v>1554.03</v>
      </c>
      <c r="AL32" s="758"/>
      <c r="AM32" s="750"/>
      <c r="AN32" s="759"/>
      <c r="AO32" s="753"/>
      <c r="AP32" s="751"/>
      <c r="AQ32" s="750"/>
      <c r="AR32" s="760"/>
      <c r="AS32" s="750"/>
      <c r="AT32" s="751"/>
      <c r="AU32" s="750"/>
      <c r="AV32" s="749">
        <f t="shared" si="0"/>
        <v>3207</v>
      </c>
      <c r="AW32" s="828">
        <f t="shared" si="1"/>
        <v>3439.3199999999997</v>
      </c>
      <c r="AX32" s="760"/>
      <c r="AY32" s="750"/>
      <c r="AZ32" s="754">
        <f t="shared" si="2"/>
        <v>3207</v>
      </c>
      <c r="BA32" s="831">
        <f t="shared" si="3"/>
        <v>3439.3199999999997</v>
      </c>
    </row>
    <row r="33" spans="1:53" x14ac:dyDescent="0.3">
      <c r="A33" s="755" t="s">
        <v>257</v>
      </c>
      <c r="B33" s="756"/>
      <c r="C33" s="750"/>
      <c r="D33" s="751">
        <v>66</v>
      </c>
      <c r="E33" s="750">
        <v>106.14</v>
      </c>
      <c r="F33" s="751"/>
      <c r="G33" s="750"/>
      <c r="H33" s="751"/>
      <c r="I33" s="750">
        <v>1406.92</v>
      </c>
      <c r="J33" s="751"/>
      <c r="K33" s="750"/>
      <c r="L33" s="751"/>
      <c r="M33" s="750"/>
      <c r="N33" s="751">
        <v>125</v>
      </c>
      <c r="O33" s="750">
        <v>101.47</v>
      </c>
      <c r="P33" s="751"/>
      <c r="Q33" s="750"/>
      <c r="R33" s="751"/>
      <c r="S33" s="750"/>
      <c r="T33" s="751"/>
      <c r="U33" s="750"/>
      <c r="V33" s="751">
        <v>6627</v>
      </c>
      <c r="W33" s="750">
        <v>5700.41</v>
      </c>
      <c r="X33" s="751"/>
      <c r="Y33" s="750">
        <v>1116.6500000000001</v>
      </c>
      <c r="Z33" s="757"/>
      <c r="AA33" s="750"/>
      <c r="AB33" s="751"/>
      <c r="AC33" s="750"/>
      <c r="AD33" s="751"/>
      <c r="AE33" s="750"/>
      <c r="AF33" s="751"/>
      <c r="AG33" s="750"/>
      <c r="AH33" s="751">
        <v>772</v>
      </c>
      <c r="AI33" s="750">
        <v>768.31</v>
      </c>
      <c r="AJ33" s="751"/>
      <c r="AK33" s="750"/>
      <c r="AL33" s="758"/>
      <c r="AM33" s="750"/>
      <c r="AN33" s="759"/>
      <c r="AO33" s="753"/>
      <c r="AP33" s="751"/>
      <c r="AQ33" s="750"/>
      <c r="AR33" s="760"/>
      <c r="AS33" s="750"/>
      <c r="AT33" s="751"/>
      <c r="AU33" s="750"/>
      <c r="AV33" s="749">
        <f t="shared" si="0"/>
        <v>7590</v>
      </c>
      <c r="AW33" s="828">
        <f t="shared" si="1"/>
        <v>9199.9</v>
      </c>
      <c r="AX33" s="760"/>
      <c r="AY33" s="750"/>
      <c r="AZ33" s="754">
        <f t="shared" si="2"/>
        <v>7590</v>
      </c>
      <c r="BA33" s="831">
        <f t="shared" si="3"/>
        <v>9199.9</v>
      </c>
    </row>
    <row r="34" spans="1:53" x14ac:dyDescent="0.3">
      <c r="A34" s="755" t="s">
        <v>258</v>
      </c>
      <c r="B34" s="756">
        <v>693</v>
      </c>
      <c r="C34" s="750">
        <v>709</v>
      </c>
      <c r="D34" s="751">
        <v>10</v>
      </c>
      <c r="E34" s="750">
        <v>41.35</v>
      </c>
      <c r="F34" s="751">
        <v>185</v>
      </c>
      <c r="G34" s="750">
        <v>219</v>
      </c>
      <c r="H34" s="751">
        <v>572</v>
      </c>
      <c r="I34" s="750">
        <v>833.53</v>
      </c>
      <c r="J34" s="751">
        <v>215</v>
      </c>
      <c r="K34" s="750">
        <v>198.25</v>
      </c>
      <c r="L34" s="751"/>
      <c r="M34" s="750"/>
      <c r="N34" s="751">
        <v>160</v>
      </c>
      <c r="O34" s="750">
        <v>150.26</v>
      </c>
      <c r="P34" s="751"/>
      <c r="Q34" s="750"/>
      <c r="R34" s="751">
        <v>417</v>
      </c>
      <c r="S34" s="750">
        <v>423.69</v>
      </c>
      <c r="T34" s="751"/>
      <c r="U34" s="750"/>
      <c r="V34" s="751"/>
      <c r="W34" s="750"/>
      <c r="X34" s="751"/>
      <c r="Y34" s="750"/>
      <c r="Z34" s="757">
        <v>116</v>
      </c>
      <c r="AA34" s="750">
        <v>95.72</v>
      </c>
      <c r="AB34" s="751"/>
      <c r="AC34" s="750"/>
      <c r="AD34" s="751">
        <v>580</v>
      </c>
      <c r="AE34" s="750">
        <v>583.29</v>
      </c>
      <c r="AF34" s="751">
        <v>1118</v>
      </c>
      <c r="AG34" s="750">
        <v>1011.43</v>
      </c>
      <c r="AH34" s="751"/>
      <c r="AI34" s="750"/>
      <c r="AJ34" s="751"/>
      <c r="AK34" s="750"/>
      <c r="AL34" s="758"/>
      <c r="AM34" s="750"/>
      <c r="AN34" s="759"/>
      <c r="AO34" s="753"/>
      <c r="AP34" s="751"/>
      <c r="AQ34" s="750"/>
      <c r="AR34" s="760"/>
      <c r="AS34" s="750"/>
      <c r="AT34" s="751"/>
      <c r="AU34" s="750"/>
      <c r="AV34" s="749">
        <f t="shared" si="0"/>
        <v>4066</v>
      </c>
      <c r="AW34" s="828">
        <f t="shared" si="1"/>
        <v>4265.5200000000004</v>
      </c>
      <c r="AX34" s="760">
        <v>16817.060000000001</v>
      </c>
      <c r="AY34" s="750">
        <v>16538.53</v>
      </c>
      <c r="AZ34" s="754">
        <f t="shared" si="2"/>
        <v>20883.060000000001</v>
      </c>
      <c r="BA34" s="831">
        <f t="shared" si="3"/>
        <v>20804.05</v>
      </c>
    </row>
    <row r="35" spans="1:53" x14ac:dyDescent="0.3">
      <c r="A35" s="755" t="s">
        <v>259</v>
      </c>
      <c r="B35" s="756">
        <v>636</v>
      </c>
      <c r="C35" s="750">
        <v>608</v>
      </c>
      <c r="D35" s="751">
        <v>62</v>
      </c>
      <c r="E35" s="750">
        <v>75.75</v>
      </c>
      <c r="F35" s="751"/>
      <c r="G35" s="750"/>
      <c r="H35" s="751"/>
      <c r="I35" s="750"/>
      <c r="J35" s="751"/>
      <c r="K35" s="750"/>
      <c r="L35" s="751"/>
      <c r="M35" s="750"/>
      <c r="N35" s="751"/>
      <c r="O35" s="750"/>
      <c r="P35" s="751"/>
      <c r="Q35" s="750"/>
      <c r="R35" s="751"/>
      <c r="S35" s="750"/>
      <c r="T35" s="751"/>
      <c r="U35" s="750"/>
      <c r="V35" s="751"/>
      <c r="W35" s="750"/>
      <c r="X35" s="751"/>
      <c r="Y35" s="750"/>
      <c r="Z35" s="757"/>
      <c r="AA35" s="750"/>
      <c r="AB35" s="751"/>
      <c r="AC35" s="750"/>
      <c r="AD35" s="751">
        <v>426</v>
      </c>
      <c r="AE35" s="750">
        <v>92.43</v>
      </c>
      <c r="AF35" s="751">
        <v>2316</v>
      </c>
      <c r="AG35" s="750"/>
      <c r="AH35" s="751">
        <v>302</v>
      </c>
      <c r="AI35" s="750"/>
      <c r="AJ35" s="751"/>
      <c r="AK35" s="750"/>
      <c r="AL35" s="758"/>
      <c r="AM35" s="750"/>
      <c r="AN35" s="759">
        <v>131</v>
      </c>
      <c r="AO35" s="753"/>
      <c r="AP35" s="751"/>
      <c r="AQ35" s="750"/>
      <c r="AR35" s="760"/>
      <c r="AS35" s="750"/>
      <c r="AT35" s="762"/>
      <c r="AU35" s="750"/>
      <c r="AV35" s="749">
        <f t="shared" si="0"/>
        <v>3873</v>
      </c>
      <c r="AW35" s="828">
        <f t="shared" si="1"/>
        <v>776.18000000000006</v>
      </c>
      <c r="AX35" s="760"/>
      <c r="AY35" s="750"/>
      <c r="AZ35" s="754">
        <f t="shared" si="2"/>
        <v>3873</v>
      </c>
      <c r="BA35" s="831">
        <f t="shared" si="3"/>
        <v>776.18000000000006</v>
      </c>
    </row>
    <row r="36" spans="1:53" x14ac:dyDescent="0.3">
      <c r="A36" s="755" t="s">
        <v>260</v>
      </c>
      <c r="B36" s="756">
        <v>706</v>
      </c>
      <c r="C36" s="750">
        <v>585</v>
      </c>
      <c r="D36" s="751">
        <v>112</v>
      </c>
      <c r="E36" s="750">
        <v>139.77000000000001</v>
      </c>
      <c r="F36" s="751">
        <v>86</v>
      </c>
      <c r="G36" s="750">
        <v>95</v>
      </c>
      <c r="H36" s="751">
        <f>19+1177+1073</f>
        <v>2269</v>
      </c>
      <c r="I36" s="750">
        <v>3289.24</v>
      </c>
      <c r="J36" s="751">
        <f>26+293+39+119+574+166</f>
        <v>1217</v>
      </c>
      <c r="K36" s="750">
        <v>1346.9</v>
      </c>
      <c r="L36" s="751">
        <v>1586</v>
      </c>
      <c r="M36" s="750">
        <v>1546.81</v>
      </c>
      <c r="N36" s="751">
        <f>198+86</f>
        <v>284</v>
      </c>
      <c r="O36" s="750">
        <v>179.73</v>
      </c>
      <c r="P36" s="751">
        <v>219</v>
      </c>
      <c r="Q36" s="750">
        <v>178.35</v>
      </c>
      <c r="R36" s="751">
        <f>200+73</f>
        <v>273</v>
      </c>
      <c r="S36" s="750">
        <v>233.88</v>
      </c>
      <c r="T36" s="751">
        <f>133+31</f>
        <v>164</v>
      </c>
      <c r="U36" s="750">
        <v>168.61</v>
      </c>
      <c r="V36" s="751"/>
      <c r="W36" s="750"/>
      <c r="X36" s="751"/>
      <c r="Y36" s="750">
        <v>3738.52</v>
      </c>
      <c r="Z36" s="757">
        <f>328+339+80</f>
        <v>747</v>
      </c>
      <c r="AA36" s="750">
        <v>321.27</v>
      </c>
      <c r="AB36" s="751">
        <f>103</f>
        <v>103</v>
      </c>
      <c r="AC36" s="750"/>
      <c r="AD36" s="761">
        <f>1038+1759+306</f>
        <v>3103</v>
      </c>
      <c r="AE36" s="750">
        <v>1926.57</v>
      </c>
      <c r="AF36" s="751">
        <f>1322+79+816+3637+286-7</f>
        <v>6133</v>
      </c>
      <c r="AG36" s="750">
        <v>1032.07</v>
      </c>
      <c r="AH36" s="751">
        <v>274</v>
      </c>
      <c r="AI36" s="750">
        <v>-253.71</v>
      </c>
      <c r="AJ36" s="751">
        <f>495+481</f>
        <v>976</v>
      </c>
      <c r="AK36" s="750">
        <v>1509.13</v>
      </c>
      <c r="AL36" s="758"/>
      <c r="AM36" s="750"/>
      <c r="AN36" s="759">
        <f>4941+1668</f>
        <v>6609</v>
      </c>
      <c r="AO36" s="753">
        <v>4144.17</v>
      </c>
      <c r="AP36" s="751">
        <f>1536+556</f>
        <v>2092</v>
      </c>
      <c r="AQ36" s="750">
        <v>1959.29</v>
      </c>
      <c r="AR36" s="760">
        <v>320</v>
      </c>
      <c r="AS36" s="750">
        <v>238.02</v>
      </c>
      <c r="AT36" s="751">
        <f>84+1011</f>
        <v>1095</v>
      </c>
      <c r="AU36" s="750">
        <v>821.02</v>
      </c>
      <c r="AV36" s="749">
        <f t="shared" si="0"/>
        <v>28368</v>
      </c>
      <c r="AW36" s="828">
        <f t="shared" si="1"/>
        <v>23199.64</v>
      </c>
      <c r="AX36" s="751">
        <f>96849.59+10692.74+855.43+181.28+35365.09</f>
        <v>143944.13</v>
      </c>
      <c r="AY36" s="750">
        <v>188262.65</v>
      </c>
      <c r="AZ36" s="754">
        <f t="shared" si="2"/>
        <v>172312.13</v>
      </c>
      <c r="BA36" s="831">
        <f t="shared" si="3"/>
        <v>211462.28999999998</v>
      </c>
    </row>
    <row r="37" spans="1:53" ht="17.25" thickBot="1" x14ac:dyDescent="0.35">
      <c r="A37" s="764" t="s">
        <v>261</v>
      </c>
      <c r="B37" s="765">
        <v>2627</v>
      </c>
      <c r="C37" s="750">
        <v>2153</v>
      </c>
      <c r="D37" s="766"/>
      <c r="E37" s="750"/>
      <c r="F37" s="766"/>
      <c r="G37" s="750"/>
      <c r="H37" s="766"/>
      <c r="I37" s="750"/>
      <c r="J37" s="766"/>
      <c r="K37" s="750"/>
      <c r="L37" s="766"/>
      <c r="M37" s="750"/>
      <c r="N37" s="766"/>
      <c r="O37" s="750"/>
      <c r="P37" s="766"/>
      <c r="Q37" s="750"/>
      <c r="R37" s="766"/>
      <c r="S37" s="750"/>
      <c r="T37" s="766">
        <v>374</v>
      </c>
      <c r="U37" s="750">
        <v>471.7</v>
      </c>
      <c r="V37" s="766"/>
      <c r="W37" s="750"/>
      <c r="X37" s="766"/>
      <c r="Y37" s="750"/>
      <c r="Z37" s="767"/>
      <c r="AA37" s="750"/>
      <c r="AB37" s="766"/>
      <c r="AC37" s="750">
        <v>556.84</v>
      </c>
      <c r="AD37" s="768"/>
      <c r="AE37" s="750"/>
      <c r="AF37" s="766"/>
      <c r="AG37" s="750"/>
      <c r="AH37" s="766"/>
      <c r="AI37" s="750"/>
      <c r="AJ37" s="766"/>
      <c r="AK37" s="750"/>
      <c r="AL37" s="769"/>
      <c r="AM37" s="750"/>
      <c r="AN37" s="770"/>
      <c r="AO37" s="753"/>
      <c r="AP37" s="766"/>
      <c r="AQ37" s="750"/>
      <c r="AR37" s="760"/>
      <c r="AS37" s="750"/>
      <c r="AT37" s="766"/>
      <c r="AU37" s="750"/>
      <c r="AV37" s="834">
        <f t="shared" si="0"/>
        <v>3001</v>
      </c>
      <c r="AW37" s="835">
        <f t="shared" si="1"/>
        <v>3181.54</v>
      </c>
      <c r="AX37" s="766"/>
      <c r="AY37" s="750"/>
      <c r="AZ37" s="1018">
        <f t="shared" si="2"/>
        <v>3001</v>
      </c>
      <c r="BA37" s="1019">
        <f t="shared" si="3"/>
        <v>3181.54</v>
      </c>
    </row>
    <row r="38" spans="1:53" s="745" customFormat="1" ht="18.75" thickBot="1" x14ac:dyDescent="0.4">
      <c r="A38" s="771" t="s">
        <v>54</v>
      </c>
      <c r="B38" s="772">
        <f>SUM(B5:B37)</f>
        <v>105313</v>
      </c>
      <c r="C38" s="773">
        <f t="shared" ref="C38:AU38" si="4">SUM(C5:C37)</f>
        <v>90138</v>
      </c>
      <c r="D38" s="772">
        <f t="shared" si="4"/>
        <v>13592</v>
      </c>
      <c r="E38" s="773">
        <f t="shared" si="4"/>
        <v>15172.740000000002</v>
      </c>
      <c r="F38" s="772">
        <f t="shared" si="4"/>
        <v>20251</v>
      </c>
      <c r="G38" s="773">
        <f t="shared" si="4"/>
        <v>21158</v>
      </c>
      <c r="H38" s="772">
        <f t="shared" si="4"/>
        <v>190154</v>
      </c>
      <c r="I38" s="773">
        <f t="shared" si="4"/>
        <v>126462.62</v>
      </c>
      <c r="J38" s="772">
        <f t="shared" si="4"/>
        <v>62760</v>
      </c>
      <c r="K38" s="773">
        <f t="shared" si="4"/>
        <v>47022.67</v>
      </c>
      <c r="L38" s="772">
        <f t="shared" si="4"/>
        <v>48975</v>
      </c>
      <c r="M38" s="773">
        <f t="shared" si="4"/>
        <v>41707.57</v>
      </c>
      <c r="N38" s="772">
        <f t="shared" si="4"/>
        <v>18896</v>
      </c>
      <c r="O38" s="773">
        <f t="shared" si="4"/>
        <v>18002.419999999998</v>
      </c>
      <c r="P38" s="772">
        <f t="shared" si="4"/>
        <v>38025</v>
      </c>
      <c r="Q38" s="773">
        <f t="shared" si="4"/>
        <v>39075.68</v>
      </c>
      <c r="R38" s="772">
        <f t="shared" si="4"/>
        <v>51532</v>
      </c>
      <c r="S38" s="773">
        <f t="shared" si="4"/>
        <v>46822.340000000004</v>
      </c>
      <c r="T38" s="772">
        <f t="shared" si="4"/>
        <v>33707</v>
      </c>
      <c r="U38" s="773">
        <f t="shared" si="4"/>
        <v>36845.949999999997</v>
      </c>
      <c r="V38" s="772">
        <f t="shared" si="4"/>
        <v>380352</v>
      </c>
      <c r="W38" s="773">
        <f t="shared" si="4"/>
        <v>307586.77999999997</v>
      </c>
      <c r="X38" s="772">
        <f t="shared" si="4"/>
        <v>209733</v>
      </c>
      <c r="Y38" s="773">
        <f t="shared" si="4"/>
        <v>183451.40999999995</v>
      </c>
      <c r="Z38" s="772">
        <f t="shared" si="4"/>
        <v>19718</v>
      </c>
      <c r="AA38" s="773">
        <f t="shared" si="4"/>
        <v>15805.530000000002</v>
      </c>
      <c r="AB38" s="772">
        <f t="shared" si="4"/>
        <v>48051</v>
      </c>
      <c r="AC38" s="773">
        <f t="shared" si="4"/>
        <v>37557.889999999992</v>
      </c>
      <c r="AD38" s="772">
        <f t="shared" si="4"/>
        <v>115622</v>
      </c>
      <c r="AE38" s="773">
        <f t="shared" si="4"/>
        <v>101918.26</v>
      </c>
      <c r="AF38" s="772">
        <f t="shared" si="4"/>
        <v>218047</v>
      </c>
      <c r="AG38" s="773">
        <f t="shared" si="4"/>
        <v>183242.93999999997</v>
      </c>
      <c r="AH38" s="772">
        <f t="shared" si="4"/>
        <v>82372</v>
      </c>
      <c r="AI38" s="773">
        <f t="shared" si="4"/>
        <v>69540.89999999998</v>
      </c>
      <c r="AJ38" s="772">
        <f t="shared" si="4"/>
        <v>77840</v>
      </c>
      <c r="AK38" s="773">
        <f t="shared" si="4"/>
        <v>76243.95</v>
      </c>
      <c r="AL38" s="772">
        <f t="shared" si="4"/>
        <v>0</v>
      </c>
      <c r="AM38" s="773">
        <f t="shared" si="4"/>
        <v>0</v>
      </c>
      <c r="AN38" s="772">
        <f t="shared" si="4"/>
        <v>210195</v>
      </c>
      <c r="AO38" s="773">
        <f t="shared" si="4"/>
        <v>175575.24</v>
      </c>
      <c r="AP38" s="772">
        <f t="shared" si="4"/>
        <v>35962</v>
      </c>
      <c r="AQ38" s="773">
        <f t="shared" si="4"/>
        <v>34553.65</v>
      </c>
      <c r="AR38" s="772">
        <f t="shared" si="4"/>
        <v>35188</v>
      </c>
      <c r="AS38" s="773">
        <f t="shared" si="4"/>
        <v>26959.18</v>
      </c>
      <c r="AT38" s="772">
        <f t="shared" si="4"/>
        <v>180971</v>
      </c>
      <c r="AU38" s="773">
        <f t="shared" si="4"/>
        <v>117314.65999999999</v>
      </c>
      <c r="AV38" s="836">
        <f t="shared" si="0"/>
        <v>2197256</v>
      </c>
      <c r="AW38" s="837">
        <f t="shared" si="1"/>
        <v>1812158.3799999994</v>
      </c>
      <c r="AX38" s="774">
        <f>SUM(AX5:AX37)</f>
        <v>2715479.9500000007</v>
      </c>
      <c r="AY38" s="774">
        <f>SUM(AY5:AY37)</f>
        <v>2603686.6299999994</v>
      </c>
      <c r="AZ38" s="836">
        <f t="shared" si="2"/>
        <v>4912735.9500000011</v>
      </c>
      <c r="BA38" s="837">
        <f t="shared" si="3"/>
        <v>4415845.0099999988</v>
      </c>
    </row>
    <row r="39" spans="1:53" x14ac:dyDescent="0.3">
      <c r="A39" s="775" t="s">
        <v>262</v>
      </c>
      <c r="B39" s="776"/>
      <c r="C39" s="777"/>
      <c r="D39" s="778"/>
      <c r="E39" s="779"/>
      <c r="F39" s="778"/>
      <c r="G39" s="779"/>
      <c r="H39" s="778"/>
      <c r="I39" s="779"/>
      <c r="J39" s="778"/>
      <c r="K39" s="779"/>
      <c r="L39" s="778"/>
      <c r="M39" s="779"/>
      <c r="N39" s="778"/>
      <c r="O39" s="779"/>
      <c r="P39" s="778"/>
      <c r="Q39" s="779"/>
      <c r="R39" s="778"/>
      <c r="S39" s="779"/>
      <c r="T39" s="778"/>
      <c r="U39" s="779"/>
      <c r="V39" s="778"/>
      <c r="W39" s="779"/>
      <c r="X39" s="778"/>
      <c r="Y39" s="779"/>
      <c r="Z39" s="780"/>
      <c r="AA39" s="781"/>
      <c r="AB39" s="778"/>
      <c r="AC39" s="779"/>
      <c r="AD39" s="778"/>
      <c r="AE39" s="779"/>
      <c r="AF39" s="778"/>
      <c r="AG39" s="779"/>
      <c r="AH39" s="778"/>
      <c r="AI39" s="779"/>
      <c r="AJ39" s="778"/>
      <c r="AK39" s="779"/>
      <c r="AL39" s="782"/>
      <c r="AM39" s="779"/>
      <c r="AN39" s="778"/>
      <c r="AO39" s="779"/>
      <c r="AP39" s="778"/>
      <c r="AQ39" s="779"/>
      <c r="AR39" s="780"/>
      <c r="AS39" s="781"/>
      <c r="AT39" s="778"/>
      <c r="AU39" s="779"/>
      <c r="AV39" s="749"/>
      <c r="AW39" s="828"/>
      <c r="AX39" s="778"/>
      <c r="AY39" s="779"/>
      <c r="AZ39" s="749"/>
      <c r="BA39" s="828"/>
    </row>
    <row r="40" spans="1:53" ht="17.25" thickBot="1" x14ac:dyDescent="0.35">
      <c r="A40" s="783"/>
      <c r="B40" s="784"/>
      <c r="C40" s="785"/>
      <c r="D40" s="784"/>
      <c r="E40" s="785"/>
      <c r="F40" s="784"/>
      <c r="G40" s="785"/>
      <c r="H40" s="784"/>
      <c r="I40" s="785"/>
      <c r="J40" s="784"/>
      <c r="K40" s="785"/>
      <c r="L40" s="784"/>
      <c r="M40" s="785"/>
      <c r="N40" s="784"/>
      <c r="O40" s="785"/>
      <c r="P40" s="784"/>
      <c r="Q40" s="785"/>
      <c r="R40" s="784"/>
      <c r="S40" s="785"/>
      <c r="T40" s="784"/>
      <c r="U40" s="785"/>
      <c r="V40" s="784"/>
      <c r="W40" s="785"/>
      <c r="X40" s="784"/>
      <c r="Y40" s="785"/>
      <c r="Z40" s="784"/>
      <c r="AA40" s="785"/>
      <c r="AB40" s="784"/>
      <c r="AC40" s="785"/>
      <c r="AD40" s="784"/>
      <c r="AE40" s="785"/>
      <c r="AF40" s="784"/>
      <c r="AG40" s="785"/>
      <c r="AH40" s="784"/>
      <c r="AI40" s="785"/>
      <c r="AJ40" s="784"/>
      <c r="AK40" s="785"/>
      <c r="AL40" s="784"/>
      <c r="AM40" s="785"/>
      <c r="AN40" s="784"/>
      <c r="AO40" s="785"/>
      <c r="AP40" s="784"/>
      <c r="AQ40" s="785"/>
      <c r="AR40" s="784"/>
      <c r="AS40" s="785"/>
      <c r="AT40" s="784"/>
      <c r="AU40" s="785"/>
      <c r="AV40" s="829"/>
      <c r="AW40" s="830"/>
      <c r="AX40" s="784"/>
      <c r="AY40" s="785"/>
      <c r="AZ40" s="832"/>
      <c r="BA40" s="833"/>
    </row>
  </sheetData>
  <mergeCells count="29">
    <mergeCell ref="AJ3:AK3"/>
    <mergeCell ref="AZ3:BA3"/>
    <mergeCell ref="AN3:AO3"/>
    <mergeCell ref="AP3:AQ3"/>
    <mergeCell ref="AR3:AS3"/>
    <mergeCell ref="AT3:AU3"/>
    <mergeCell ref="AV3:AW3"/>
    <mergeCell ref="AX3:AY3"/>
    <mergeCell ref="Z3:AA3"/>
    <mergeCell ref="AB3:AC3"/>
    <mergeCell ref="AD3:AE3"/>
    <mergeCell ref="AF3:AG3"/>
    <mergeCell ref="AH3:AI3"/>
    <mergeCell ref="A1:AZ1"/>
    <mergeCell ref="A2:AZ2"/>
    <mergeCell ref="A3:A4"/>
    <mergeCell ref="B3:C3"/>
    <mergeCell ref="D3:E3"/>
    <mergeCell ref="F3:G3"/>
    <mergeCell ref="H3:I3"/>
    <mergeCell ref="J3:K3"/>
    <mergeCell ref="L3:M3"/>
    <mergeCell ref="N3:O3"/>
    <mergeCell ref="AL3:AM3"/>
    <mergeCell ref="P3:Q3"/>
    <mergeCell ref="R3:S3"/>
    <mergeCell ref="T3:U3"/>
    <mergeCell ref="V3:W3"/>
    <mergeCell ref="X3:Y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BG39"/>
  <sheetViews>
    <sheetView workbookViewId="0">
      <pane xSplit="1" topLeftCell="B1" activePane="topRight" state="frozen"/>
      <selection pane="topRight" sqref="A1:IV65536"/>
    </sheetView>
  </sheetViews>
  <sheetFormatPr defaultRowHeight="15" x14ac:dyDescent="0.25"/>
  <cols>
    <col min="1" max="1" width="37.28515625" style="144" bestFit="1" customWidth="1"/>
    <col min="2" max="21" width="15" bestFit="1" customWidth="1"/>
    <col min="22" max="23" width="15" style="141" bestFit="1" customWidth="1"/>
    <col min="24" max="41" width="15" bestFit="1" customWidth="1"/>
    <col min="42" max="47" width="15" style="141" bestFit="1" customWidth="1"/>
    <col min="48" max="53" width="15" style="142" bestFit="1" customWidth="1"/>
    <col min="57" max="57" width="11.42578125" customWidth="1"/>
    <col min="58" max="58" width="13" customWidth="1"/>
    <col min="59" max="59" width="11.5703125" customWidth="1"/>
  </cols>
  <sheetData>
    <row r="1" spans="1:59" s="70" customFormat="1" ht="13.5" customHeight="1" x14ac:dyDescent="0.35">
      <c r="A1" s="1144" t="s">
        <v>111</v>
      </c>
      <c r="B1" s="1144"/>
      <c r="C1" s="1144"/>
      <c r="D1" s="1144"/>
      <c r="E1" s="1144"/>
      <c r="F1" s="1144"/>
      <c r="G1" s="1144"/>
      <c r="H1" s="1144"/>
      <c r="I1" s="1144"/>
      <c r="J1" s="1144"/>
      <c r="K1" s="1144"/>
      <c r="L1" s="1144"/>
      <c r="M1" s="1144"/>
      <c r="N1" s="1144"/>
      <c r="O1" s="1144"/>
      <c r="P1" s="1144"/>
      <c r="Q1" s="1144"/>
      <c r="R1" s="1144"/>
      <c r="S1" s="1144"/>
      <c r="T1" s="1144"/>
      <c r="U1" s="1144"/>
      <c r="V1" s="1144"/>
      <c r="W1" s="1144"/>
      <c r="X1" s="1144"/>
      <c r="Y1" s="1144"/>
      <c r="Z1" s="1144"/>
      <c r="AA1" s="1144"/>
      <c r="AB1" s="1144"/>
      <c r="AC1" s="1144"/>
      <c r="AD1" s="1144"/>
      <c r="AE1" s="1144"/>
      <c r="AF1" s="1144"/>
      <c r="AG1" s="1144"/>
      <c r="AH1" s="1144"/>
      <c r="AI1" s="1144"/>
      <c r="AJ1" s="1144"/>
      <c r="AK1" s="1144"/>
      <c r="AL1" s="1144"/>
      <c r="AM1" s="1144"/>
      <c r="AN1" s="1144"/>
      <c r="AO1" s="1144"/>
      <c r="AP1" s="1144"/>
      <c r="AQ1" s="1144"/>
      <c r="AR1" s="1144"/>
      <c r="AS1" s="1144"/>
      <c r="AT1" s="1144"/>
      <c r="AU1" s="1144"/>
      <c r="AV1" s="1144"/>
      <c r="AW1" s="1144"/>
      <c r="AX1" s="1144"/>
      <c r="AY1" s="1144"/>
      <c r="AZ1" s="1144"/>
      <c r="BA1" s="107"/>
    </row>
    <row r="2" spans="1:59" s="70" customFormat="1" ht="14.25" customHeight="1" thickBot="1" x14ac:dyDescent="0.35">
      <c r="A2" s="1145" t="s">
        <v>338</v>
      </c>
      <c r="B2" s="1145"/>
      <c r="C2" s="1145"/>
      <c r="D2" s="1145"/>
      <c r="E2" s="1145"/>
      <c r="F2" s="1145"/>
      <c r="G2" s="1145"/>
      <c r="H2" s="1145"/>
      <c r="I2" s="1145"/>
      <c r="J2" s="1145"/>
      <c r="K2" s="1145"/>
      <c r="L2" s="1145"/>
      <c r="M2" s="1145"/>
      <c r="N2" s="1145"/>
      <c r="O2" s="1145"/>
      <c r="P2" s="1145"/>
      <c r="Q2" s="1145"/>
      <c r="R2" s="1145"/>
      <c r="S2" s="1145"/>
      <c r="T2" s="1145"/>
      <c r="U2" s="1145"/>
      <c r="V2" s="1145"/>
      <c r="W2" s="1145"/>
      <c r="X2" s="1145"/>
      <c r="Y2" s="1145"/>
      <c r="Z2" s="1145"/>
      <c r="AA2" s="1145"/>
      <c r="AB2" s="1145"/>
      <c r="AC2" s="1145"/>
      <c r="AD2" s="1145"/>
      <c r="AE2" s="1145"/>
      <c r="AF2" s="1145"/>
      <c r="AG2" s="1145"/>
      <c r="AH2" s="1145"/>
      <c r="AI2" s="1145"/>
      <c r="AJ2" s="1145"/>
      <c r="AK2" s="1145"/>
      <c r="AL2" s="1145"/>
      <c r="AM2" s="1145"/>
      <c r="AN2" s="1145"/>
      <c r="AO2" s="1145"/>
      <c r="AP2" s="1145"/>
      <c r="AQ2" s="1145"/>
      <c r="AR2" s="1145"/>
      <c r="AS2" s="1145"/>
      <c r="AT2" s="1145"/>
      <c r="AU2" s="1145"/>
      <c r="AV2" s="1145"/>
      <c r="AW2" s="1145"/>
      <c r="AX2" s="1145"/>
      <c r="AY2" s="1145"/>
      <c r="AZ2" s="1145"/>
      <c r="BA2" s="107"/>
    </row>
    <row r="3" spans="1:59" s="646" customFormat="1" ht="38.25" customHeight="1" thickBot="1" x14ac:dyDescent="0.3">
      <c r="A3" s="1146" t="s">
        <v>0</v>
      </c>
      <c r="B3" s="1148" t="s">
        <v>114</v>
      </c>
      <c r="C3" s="1149"/>
      <c r="D3" s="1098" t="s">
        <v>115</v>
      </c>
      <c r="E3" s="1097"/>
      <c r="F3" s="1098" t="s">
        <v>116</v>
      </c>
      <c r="G3" s="1097"/>
      <c r="H3" s="1098" t="s">
        <v>117</v>
      </c>
      <c r="I3" s="1097"/>
      <c r="J3" s="1098" t="s">
        <v>118</v>
      </c>
      <c r="K3" s="1097"/>
      <c r="L3" s="1098" t="s">
        <v>119</v>
      </c>
      <c r="M3" s="1097"/>
      <c r="N3" s="1098" t="s">
        <v>220</v>
      </c>
      <c r="O3" s="1097"/>
      <c r="P3" s="1098" t="s">
        <v>120</v>
      </c>
      <c r="Q3" s="1097"/>
      <c r="R3" s="1096" t="s">
        <v>121</v>
      </c>
      <c r="S3" s="1097"/>
      <c r="T3" s="1096" t="s">
        <v>122</v>
      </c>
      <c r="U3" s="1097"/>
      <c r="V3" s="1122" t="s">
        <v>123</v>
      </c>
      <c r="W3" s="1113"/>
      <c r="X3" s="1096" t="s">
        <v>124</v>
      </c>
      <c r="Y3" s="1097"/>
      <c r="Z3" s="1062" t="s">
        <v>226</v>
      </c>
      <c r="AA3" s="1063"/>
      <c r="AB3" s="1096" t="s">
        <v>125</v>
      </c>
      <c r="AC3" s="1097"/>
      <c r="AD3" s="1150" t="s">
        <v>126</v>
      </c>
      <c r="AE3" s="1151"/>
      <c r="AF3" s="1142" t="s">
        <v>127</v>
      </c>
      <c r="AG3" s="1143"/>
      <c r="AH3" s="1096" t="s">
        <v>128</v>
      </c>
      <c r="AI3" s="1097"/>
      <c r="AJ3" s="1096" t="s">
        <v>129</v>
      </c>
      <c r="AK3" s="1097"/>
      <c r="AL3" s="1099" t="s">
        <v>214</v>
      </c>
      <c r="AM3" s="1099"/>
      <c r="AN3" s="1096" t="s">
        <v>131</v>
      </c>
      <c r="AO3" s="1098"/>
      <c r="AP3" s="1135" t="s">
        <v>132</v>
      </c>
      <c r="AQ3" s="1121"/>
      <c r="AR3" s="1122" t="s">
        <v>133</v>
      </c>
      <c r="AS3" s="1112"/>
      <c r="AT3" s="1122" t="s">
        <v>134</v>
      </c>
      <c r="AU3" s="1112"/>
      <c r="AV3" s="1135" t="s">
        <v>1</v>
      </c>
      <c r="AW3" s="1121"/>
      <c r="AX3" s="1140" t="s">
        <v>135</v>
      </c>
      <c r="AY3" s="1141"/>
      <c r="AZ3" s="1138" t="s">
        <v>2</v>
      </c>
      <c r="BA3" s="1139"/>
    </row>
    <row r="4" spans="1:59" s="348" customFormat="1" ht="15" customHeight="1" thickBot="1" x14ac:dyDescent="0.3">
      <c r="A4" s="1147"/>
      <c r="B4" s="345" t="s">
        <v>329</v>
      </c>
      <c r="C4" s="345" t="s">
        <v>223</v>
      </c>
      <c r="D4" s="345" t="s">
        <v>329</v>
      </c>
      <c r="E4" s="345" t="s">
        <v>223</v>
      </c>
      <c r="F4" s="345" t="s">
        <v>329</v>
      </c>
      <c r="G4" s="345" t="s">
        <v>223</v>
      </c>
      <c r="H4" s="345" t="s">
        <v>329</v>
      </c>
      <c r="I4" s="345" t="s">
        <v>223</v>
      </c>
      <c r="J4" s="345" t="s">
        <v>329</v>
      </c>
      <c r="K4" s="345" t="s">
        <v>223</v>
      </c>
      <c r="L4" s="345" t="s">
        <v>329</v>
      </c>
      <c r="M4" s="345" t="s">
        <v>223</v>
      </c>
      <c r="N4" s="345" t="s">
        <v>329</v>
      </c>
      <c r="O4" s="345" t="s">
        <v>223</v>
      </c>
      <c r="P4" s="345" t="s">
        <v>329</v>
      </c>
      <c r="Q4" s="345" t="s">
        <v>223</v>
      </c>
      <c r="R4" s="345" t="s">
        <v>329</v>
      </c>
      <c r="S4" s="345" t="s">
        <v>223</v>
      </c>
      <c r="T4" s="345" t="s">
        <v>329</v>
      </c>
      <c r="U4" s="345" t="s">
        <v>223</v>
      </c>
      <c r="V4" s="345" t="s">
        <v>329</v>
      </c>
      <c r="W4" s="345" t="s">
        <v>223</v>
      </c>
      <c r="X4" s="345" t="s">
        <v>329</v>
      </c>
      <c r="Y4" s="345" t="s">
        <v>223</v>
      </c>
      <c r="Z4" s="345" t="s">
        <v>329</v>
      </c>
      <c r="AA4" s="345" t="s">
        <v>223</v>
      </c>
      <c r="AB4" s="345" t="s">
        <v>329</v>
      </c>
      <c r="AC4" s="345" t="s">
        <v>223</v>
      </c>
      <c r="AD4" s="345" t="s">
        <v>329</v>
      </c>
      <c r="AE4" s="345" t="s">
        <v>223</v>
      </c>
      <c r="AF4" s="345" t="s">
        <v>329</v>
      </c>
      <c r="AG4" s="345" t="s">
        <v>223</v>
      </c>
      <c r="AH4" s="345" t="s">
        <v>329</v>
      </c>
      <c r="AI4" s="345" t="s">
        <v>223</v>
      </c>
      <c r="AJ4" s="345" t="s">
        <v>329</v>
      </c>
      <c r="AK4" s="345" t="s">
        <v>223</v>
      </c>
      <c r="AL4" s="345" t="s">
        <v>329</v>
      </c>
      <c r="AM4" s="345" t="s">
        <v>223</v>
      </c>
      <c r="AN4" s="345" t="s">
        <v>329</v>
      </c>
      <c r="AO4" s="345" t="s">
        <v>223</v>
      </c>
      <c r="AP4" s="345" t="s">
        <v>329</v>
      </c>
      <c r="AQ4" s="345" t="s">
        <v>223</v>
      </c>
      <c r="AR4" s="345" t="s">
        <v>329</v>
      </c>
      <c r="AS4" s="345" t="s">
        <v>223</v>
      </c>
      <c r="AT4" s="345" t="s">
        <v>329</v>
      </c>
      <c r="AU4" s="345" t="s">
        <v>223</v>
      </c>
      <c r="AV4" s="345" t="s">
        <v>329</v>
      </c>
      <c r="AW4" s="345" t="s">
        <v>223</v>
      </c>
      <c r="AX4" s="345" t="s">
        <v>329</v>
      </c>
      <c r="AY4" s="345" t="s">
        <v>223</v>
      </c>
      <c r="AZ4" s="345" t="s">
        <v>329</v>
      </c>
      <c r="BA4" s="345" t="s">
        <v>223</v>
      </c>
    </row>
    <row r="5" spans="1:59" s="74" customFormat="1" ht="15" customHeight="1" x14ac:dyDescent="0.3">
      <c r="A5" s="145" t="s">
        <v>30</v>
      </c>
      <c r="B5" s="146"/>
      <c r="C5" s="148"/>
      <c r="D5" s="149"/>
      <c r="E5" s="148"/>
      <c r="F5" s="151"/>
      <c r="G5" s="150"/>
      <c r="H5" s="151"/>
      <c r="I5" s="150"/>
      <c r="J5" s="151"/>
      <c r="K5" s="150"/>
      <c r="L5" s="151"/>
      <c r="M5" s="150"/>
      <c r="N5" s="151"/>
      <c r="O5" s="150"/>
      <c r="P5" s="149"/>
      <c r="Q5" s="148"/>
      <c r="R5" s="146"/>
      <c r="S5" s="148"/>
      <c r="T5" s="146"/>
      <c r="U5" s="148"/>
      <c r="V5" s="154"/>
      <c r="W5" s="150"/>
      <c r="X5" s="146"/>
      <c r="Y5" s="148"/>
      <c r="Z5" s="146"/>
      <c r="AA5" s="148"/>
      <c r="AB5" s="146"/>
      <c r="AC5" s="148"/>
      <c r="AD5" s="146"/>
      <c r="AE5" s="148"/>
      <c r="AF5" s="146"/>
      <c r="AG5" s="148"/>
      <c r="AH5" s="146"/>
      <c r="AI5" s="148"/>
      <c r="AJ5" s="146"/>
      <c r="AK5" s="148"/>
      <c r="AL5" s="549"/>
      <c r="AM5" s="709"/>
      <c r="AN5" s="170"/>
      <c r="AO5" s="172"/>
      <c r="AP5" s="151"/>
      <c r="AQ5" s="152"/>
      <c r="AR5" s="154"/>
      <c r="AS5" s="152"/>
      <c r="AT5" s="154"/>
      <c r="AU5" s="152"/>
      <c r="AV5" s="154"/>
      <c r="AW5" s="152"/>
      <c r="AX5" s="154"/>
      <c r="AY5" s="152"/>
      <c r="AZ5" s="154"/>
      <c r="BA5" s="156"/>
    </row>
    <row r="6" spans="1:59" s="74" customFormat="1" ht="14.25" x14ac:dyDescent="0.3">
      <c r="A6" s="103" t="s">
        <v>31</v>
      </c>
      <c r="B6" s="108">
        <v>131303</v>
      </c>
      <c r="C6" s="75">
        <v>59269.47</v>
      </c>
      <c r="D6" s="109">
        <v>31184</v>
      </c>
      <c r="E6" s="78">
        <v>9854.84</v>
      </c>
      <c r="F6" s="110">
        <v>28190</v>
      </c>
      <c r="G6" s="82">
        <v>8957</v>
      </c>
      <c r="H6" s="110">
        <v>185651</v>
      </c>
      <c r="I6" s="82">
        <v>97618.61</v>
      </c>
      <c r="J6" s="110">
        <v>33990</v>
      </c>
      <c r="K6" s="82">
        <v>13747.81</v>
      </c>
      <c r="L6" s="110">
        <v>55531</v>
      </c>
      <c r="M6" s="110">
        <v>22630.34</v>
      </c>
      <c r="N6" s="110">
        <v>29141</v>
      </c>
      <c r="O6" s="547">
        <v>20261.93</v>
      </c>
      <c r="P6" s="109">
        <v>20437</v>
      </c>
      <c r="Q6" s="78">
        <v>7519.23</v>
      </c>
      <c r="R6" s="76">
        <v>55030</v>
      </c>
      <c r="S6" s="78">
        <v>21995.67</v>
      </c>
      <c r="T6" s="76">
        <v>25494</v>
      </c>
      <c r="U6" s="78">
        <v>12330.96</v>
      </c>
      <c r="V6" s="80">
        <v>466139</v>
      </c>
      <c r="W6" s="82">
        <v>196354</v>
      </c>
      <c r="X6" s="76">
        <v>480321</v>
      </c>
      <c r="Y6" s="78">
        <v>199303.41</v>
      </c>
      <c r="Z6" s="83">
        <v>17634</v>
      </c>
      <c r="AA6" s="84">
        <v>8650.09</v>
      </c>
      <c r="AB6" s="76">
        <v>90485</v>
      </c>
      <c r="AC6" s="78">
        <v>37598.92</v>
      </c>
      <c r="AD6" s="76">
        <v>183593</v>
      </c>
      <c r="AE6" s="78">
        <v>85134.86</v>
      </c>
      <c r="AF6" s="76">
        <v>280462</v>
      </c>
      <c r="AG6" s="78">
        <v>103226.44</v>
      </c>
      <c r="AH6" s="76">
        <v>157251</v>
      </c>
      <c r="AI6" s="78">
        <v>53726.3</v>
      </c>
      <c r="AJ6" s="76">
        <v>31054</v>
      </c>
      <c r="AK6" s="78">
        <v>15017.06</v>
      </c>
      <c r="AL6" s="551"/>
      <c r="AM6" s="79"/>
      <c r="AN6" s="176">
        <v>472441</v>
      </c>
      <c r="AO6" s="710">
        <v>210029.78</v>
      </c>
      <c r="AP6" s="173">
        <v>40566</v>
      </c>
      <c r="AQ6" s="97">
        <v>17534.39</v>
      </c>
      <c r="AR6" s="98">
        <v>56736</v>
      </c>
      <c r="AS6" s="99">
        <v>17443.97</v>
      </c>
      <c r="AT6" s="80">
        <v>165731</v>
      </c>
      <c r="AU6" s="81">
        <v>55587.41</v>
      </c>
      <c r="AV6" s="101">
        <f>SUM(B6+D6+F6+H6+J6+L6+N6+P6+R6+T6+V6+X6+Z6+AB6+AD6+AF6+AH6+AJ6+AL6+AN6+AP6+AR6+AT6)</f>
        <v>3038364</v>
      </c>
      <c r="AW6" s="111">
        <f>SUM(C6+E6+G6+I6+K6+M6+O6+Q6+S6+U6+W6+Y6+AA6+AC6+AE6+AG6+AI6+AK6+AM6+AO6+AQ6+AS6+AU6)</f>
        <v>1273792.49</v>
      </c>
      <c r="AX6" s="98">
        <v>2985492.47</v>
      </c>
      <c r="AY6" s="99">
        <v>1670562.71</v>
      </c>
      <c r="AZ6" s="101">
        <f t="shared" ref="AZ6:BA8" si="0">AV6+AX6</f>
        <v>6023856.4700000007</v>
      </c>
      <c r="BA6" s="113">
        <f t="shared" si="0"/>
        <v>2944355.2</v>
      </c>
    </row>
    <row r="7" spans="1:59" s="74" customFormat="1" ht="14.25" x14ac:dyDescent="0.3">
      <c r="A7" s="103" t="s">
        <v>32</v>
      </c>
      <c r="B7" s="108">
        <v>95288</v>
      </c>
      <c r="C7" s="75">
        <v>73051.87</v>
      </c>
      <c r="D7" s="109">
        <v>2204</v>
      </c>
      <c r="E7" s="78">
        <v>1609</v>
      </c>
      <c r="F7" s="110">
        <v>14083</v>
      </c>
      <c r="G7" s="82">
        <v>14721</v>
      </c>
      <c r="H7" s="110">
        <v>107700</v>
      </c>
      <c r="I7" s="82">
        <v>86952.27</v>
      </c>
      <c r="J7" s="110">
        <v>3202</v>
      </c>
      <c r="K7" s="82">
        <v>4202.8900000000003</v>
      </c>
      <c r="L7" s="110">
        <v>19002</v>
      </c>
      <c r="M7" s="110">
        <v>2528.58</v>
      </c>
      <c r="N7" s="110">
        <v>3577</v>
      </c>
      <c r="O7" s="547">
        <v>567.16999999999996</v>
      </c>
      <c r="P7" s="109">
        <v>165</v>
      </c>
      <c r="Q7" s="78"/>
      <c r="R7" s="76">
        <v>47392</v>
      </c>
      <c r="S7" s="78">
        <v>46027.09</v>
      </c>
      <c r="T7" s="76">
        <v>4117</v>
      </c>
      <c r="U7" s="78">
        <v>7254.78</v>
      </c>
      <c r="V7" s="80">
        <v>570998</v>
      </c>
      <c r="W7" s="82">
        <v>362916</v>
      </c>
      <c r="X7" s="76">
        <v>270390</v>
      </c>
      <c r="Y7" s="78">
        <v>223731.71</v>
      </c>
      <c r="Z7" s="83">
        <v>21419</v>
      </c>
      <c r="AA7" s="84">
        <v>20748.97</v>
      </c>
      <c r="AB7" s="76">
        <v>10043</v>
      </c>
      <c r="AC7" s="78">
        <v>7311.74</v>
      </c>
      <c r="AD7" s="76">
        <v>132320</v>
      </c>
      <c r="AE7" s="78">
        <v>99782.26</v>
      </c>
      <c r="AF7" s="76">
        <v>67324</v>
      </c>
      <c r="AG7" s="78">
        <v>68649.97</v>
      </c>
      <c r="AH7" s="76">
        <v>16832</v>
      </c>
      <c r="AI7" s="78">
        <v>15529.48</v>
      </c>
      <c r="AJ7" s="76">
        <v>70916</v>
      </c>
      <c r="AK7" s="78">
        <v>44570.17</v>
      </c>
      <c r="AL7" s="551"/>
      <c r="AM7" s="79"/>
      <c r="AN7" s="176">
        <v>792555</v>
      </c>
      <c r="AO7" s="710">
        <v>370468.92</v>
      </c>
      <c r="AP7" s="173">
        <v>9797</v>
      </c>
      <c r="AQ7" s="97">
        <v>8025.21</v>
      </c>
      <c r="AR7" s="98">
        <v>28069</v>
      </c>
      <c r="AS7" s="99">
        <v>14254.4</v>
      </c>
      <c r="AT7" s="80">
        <v>50693</v>
      </c>
      <c r="AU7" s="81">
        <v>39869.51</v>
      </c>
      <c r="AV7" s="101">
        <f>SUM(B7+D7+F7+H7+J7+L7+N7+P7+R7+T7+V7+X7+Z7+AB7+AD7+AF7+AH7+AJ7+AL7+AN7+AP7+AR7+AT7)</f>
        <v>2338086</v>
      </c>
      <c r="AW7" s="111">
        <f t="shared" ref="AW7:AW31" si="1">SUM(C7+E7+G7+I7+K7+M7+O7+Q7+S7+U7+W7+Y7+AA7+AC7+AE7+AG7+AI7+AK7+AM7+AO7+AQ7+AS7+AU7)</f>
        <v>1512772.9899999998</v>
      </c>
      <c r="AX7" s="98">
        <v>12316957.529999999</v>
      </c>
      <c r="AY7" s="99">
        <v>9985553.4000000004</v>
      </c>
      <c r="AZ7" s="101">
        <f t="shared" si="0"/>
        <v>14655043.529999999</v>
      </c>
      <c r="BA7" s="113">
        <f t="shared" si="0"/>
        <v>11498326.390000001</v>
      </c>
    </row>
    <row r="8" spans="1:59" s="74" customFormat="1" ht="14.25" x14ac:dyDescent="0.3">
      <c r="A8" s="103" t="s">
        <v>33</v>
      </c>
      <c r="B8" s="108">
        <v>1476</v>
      </c>
      <c r="C8" s="75">
        <v>1092.6400000000001</v>
      </c>
      <c r="D8" s="109">
        <v>1</v>
      </c>
      <c r="E8" s="78">
        <v>1.19</v>
      </c>
      <c r="F8" s="110">
        <v>3913</v>
      </c>
      <c r="G8" s="82">
        <v>12331</v>
      </c>
      <c r="H8" s="110">
        <v>1640</v>
      </c>
      <c r="I8" s="82">
        <v>1469.72</v>
      </c>
      <c r="J8" s="110"/>
      <c r="K8" s="82"/>
      <c r="L8" s="110">
        <v>2528</v>
      </c>
      <c r="M8" s="110">
        <v>1116.97</v>
      </c>
      <c r="N8" s="110">
        <v>2</v>
      </c>
      <c r="O8" s="547"/>
      <c r="P8" s="109">
        <v>157</v>
      </c>
      <c r="Q8" s="78">
        <v>152.03</v>
      </c>
      <c r="R8" s="76">
        <v>765</v>
      </c>
      <c r="S8" s="78">
        <v>558.33000000000004</v>
      </c>
      <c r="T8" s="76">
        <v>47</v>
      </c>
      <c r="U8" s="78">
        <v>35.700000000000003</v>
      </c>
      <c r="V8" s="80">
        <v>47304</v>
      </c>
      <c r="W8" s="82">
        <v>29480.97</v>
      </c>
      <c r="X8" s="76">
        <v>29311</v>
      </c>
      <c r="Y8" s="78">
        <v>21203.22</v>
      </c>
      <c r="Z8" s="83">
        <v>199</v>
      </c>
      <c r="AA8" s="84">
        <v>52.75</v>
      </c>
      <c r="AB8" s="76">
        <v>49</v>
      </c>
      <c r="AC8" s="78">
        <v>13.86</v>
      </c>
      <c r="AD8" s="76">
        <v>3252</v>
      </c>
      <c r="AE8" s="78">
        <v>2219.4499999999998</v>
      </c>
      <c r="AF8" s="76">
        <v>2093</v>
      </c>
      <c r="AG8" s="78">
        <v>1255.02</v>
      </c>
      <c r="AH8" s="76">
        <v>3109</v>
      </c>
      <c r="AI8" s="78">
        <v>1490.28</v>
      </c>
      <c r="AJ8" s="76">
        <v>636</v>
      </c>
      <c r="AK8" s="78">
        <v>466.62</v>
      </c>
      <c r="AL8" s="551"/>
      <c r="AM8" s="79"/>
      <c r="AN8" s="176">
        <v>39090</v>
      </c>
      <c r="AO8" s="710">
        <v>25112.43</v>
      </c>
      <c r="AP8" s="173">
        <v>219</v>
      </c>
      <c r="AQ8" s="97">
        <v>49.95</v>
      </c>
      <c r="AR8" s="98">
        <v>1730</v>
      </c>
      <c r="AS8" s="99">
        <v>1180.51</v>
      </c>
      <c r="AT8" s="80">
        <v>1891</v>
      </c>
      <c r="AU8" s="81">
        <v>929.9</v>
      </c>
      <c r="AV8" s="101">
        <f>SUM(B8+D8+F8+H8+J8+L8+N8+P8+R8+T8+V8+X8+Z8+AB8+AD8+AF8+AH8+AJ8+AL8+AN8+AP8+AR8+AT8)</f>
        <v>139412</v>
      </c>
      <c r="AW8" s="111">
        <f t="shared" si="1"/>
        <v>100212.53999999998</v>
      </c>
      <c r="AX8" s="98">
        <v>1215501.83</v>
      </c>
      <c r="AY8" s="99">
        <v>1078281.1499999999</v>
      </c>
      <c r="AZ8" s="101">
        <f t="shared" si="0"/>
        <v>1354913.83</v>
      </c>
      <c r="BA8" s="113">
        <f t="shared" si="0"/>
        <v>1178493.69</v>
      </c>
    </row>
    <row r="9" spans="1:59" s="74" customFormat="1" ht="14.25" x14ac:dyDescent="0.3">
      <c r="A9" s="103" t="s">
        <v>34</v>
      </c>
      <c r="B9" s="108"/>
      <c r="C9" s="75"/>
      <c r="D9" s="109"/>
      <c r="E9" s="78"/>
      <c r="F9" s="110"/>
      <c r="G9" s="82"/>
      <c r="H9" s="110"/>
      <c r="I9" s="82"/>
      <c r="J9" s="110"/>
      <c r="K9" s="82"/>
      <c r="L9" s="110"/>
      <c r="M9" s="110"/>
      <c r="N9" s="110"/>
      <c r="O9" s="547"/>
      <c r="P9" s="109"/>
      <c r="Q9" s="78"/>
      <c r="R9" s="76"/>
      <c r="S9" s="78"/>
      <c r="T9" s="76"/>
      <c r="U9" s="78"/>
      <c r="V9" s="80"/>
      <c r="W9" s="82"/>
      <c r="X9" s="76"/>
      <c r="Y9" s="78"/>
      <c r="Z9" s="83"/>
      <c r="AA9" s="84"/>
      <c r="AB9" s="76"/>
      <c r="AC9" s="78"/>
      <c r="AD9" s="76"/>
      <c r="AE9" s="78"/>
      <c r="AF9" s="76"/>
      <c r="AG9" s="78"/>
      <c r="AH9" s="76"/>
      <c r="AI9" s="78"/>
      <c r="AJ9" s="76"/>
      <c r="AK9" s="78"/>
      <c r="AL9" s="551"/>
      <c r="AM9" s="79"/>
      <c r="AN9" s="80"/>
      <c r="AO9" s="710"/>
      <c r="AP9" s="173"/>
      <c r="AQ9" s="97"/>
      <c r="AR9" s="98"/>
      <c r="AS9" s="99"/>
      <c r="AT9" s="80"/>
      <c r="AU9" s="81"/>
      <c r="AV9" s="101"/>
      <c r="AW9" s="111">
        <f t="shared" si="1"/>
        <v>0</v>
      </c>
      <c r="AX9" s="98"/>
      <c r="AY9" s="99"/>
      <c r="AZ9" s="101"/>
      <c r="BA9" s="113"/>
    </row>
    <row r="10" spans="1:59" s="74" customFormat="1" ht="14.25" x14ac:dyDescent="0.3">
      <c r="A10" s="103" t="s">
        <v>35</v>
      </c>
      <c r="B10" s="116">
        <f>3162+11452</f>
        <v>14614</v>
      </c>
      <c r="C10" s="75">
        <v>7022.66</v>
      </c>
      <c r="D10" s="117">
        <v>1064</v>
      </c>
      <c r="E10" s="78">
        <v>697.89</v>
      </c>
      <c r="F10" s="111">
        <v>5705</v>
      </c>
      <c r="G10" s="82">
        <v>3373</v>
      </c>
      <c r="H10" s="111">
        <v>31215</v>
      </c>
      <c r="I10" s="82">
        <v>23423.75</v>
      </c>
      <c r="J10" s="111">
        <v>12104</v>
      </c>
      <c r="K10" s="82">
        <v>6244</v>
      </c>
      <c r="L10" s="111">
        <v>803</v>
      </c>
      <c r="M10" s="111">
        <v>1326.51</v>
      </c>
      <c r="N10" s="111">
        <v>536</v>
      </c>
      <c r="O10" s="547">
        <v>325.64999999999998</v>
      </c>
      <c r="P10" s="117">
        <v>1033</v>
      </c>
      <c r="Q10" s="78">
        <v>537.86</v>
      </c>
      <c r="R10" s="87"/>
      <c r="S10" s="78"/>
      <c r="T10" s="87">
        <v>1018</v>
      </c>
      <c r="U10" s="78">
        <v>1584.3</v>
      </c>
      <c r="V10" s="80">
        <v>3833</v>
      </c>
      <c r="W10" s="82">
        <v>3896.64</v>
      </c>
      <c r="X10" s="87">
        <v>30035</v>
      </c>
      <c r="Y10" s="78">
        <v>24307.68</v>
      </c>
      <c r="Z10" s="83">
        <v>14088</v>
      </c>
      <c r="AA10" s="84">
        <v>15685.55</v>
      </c>
      <c r="AB10" s="87">
        <v>6755</v>
      </c>
      <c r="AC10" s="78">
        <v>5395.16</v>
      </c>
      <c r="AD10" s="118">
        <v>22861</v>
      </c>
      <c r="AE10" s="78">
        <v>16311.08</v>
      </c>
      <c r="AF10" s="87">
        <v>17992</v>
      </c>
      <c r="AG10" s="78">
        <v>11665.01</v>
      </c>
      <c r="AH10" s="87">
        <v>26130</v>
      </c>
      <c r="AI10" s="78">
        <v>23458.52</v>
      </c>
      <c r="AJ10" s="87">
        <v>38061</v>
      </c>
      <c r="AK10" s="78">
        <v>42751.61</v>
      </c>
      <c r="AL10" s="551"/>
      <c r="AM10" s="79"/>
      <c r="AN10" s="176">
        <v>87768</v>
      </c>
      <c r="AO10" s="710">
        <v>101877.42</v>
      </c>
      <c r="AP10" s="173">
        <v>3385</v>
      </c>
      <c r="AQ10" s="97">
        <v>2828.89</v>
      </c>
      <c r="AR10" s="98">
        <v>6154</v>
      </c>
      <c r="AS10" s="99">
        <v>4754.6400000000003</v>
      </c>
      <c r="AT10" s="101">
        <f>20144+28310</f>
        <v>48454</v>
      </c>
      <c r="AU10" s="81">
        <v>44221.21</v>
      </c>
      <c r="AV10" s="101">
        <f t="shared" ref="AV10:AV15" si="2">SUM(B10+D10+F10+H10+J10+L10+N10+P10+R10+T10+V10+X10+Z10+AB10+AD10+AF10+AH10+AJ10+AL10+AN10+AP10+AR10+AT10)</f>
        <v>373608</v>
      </c>
      <c r="AW10" s="111">
        <f t="shared" si="1"/>
        <v>341689.03</v>
      </c>
      <c r="AX10" s="101"/>
      <c r="AY10" s="99"/>
      <c r="AZ10" s="101">
        <f t="shared" ref="AZ10:AZ22" si="3">AV10+AX10</f>
        <v>373608</v>
      </c>
      <c r="BA10" s="113">
        <f t="shared" ref="BA10:BA22" si="4">AW10+AY10</f>
        <v>341689.03</v>
      </c>
    </row>
    <row r="11" spans="1:59" s="74" customFormat="1" ht="14.25" x14ac:dyDescent="0.3">
      <c r="A11" s="103" t="s">
        <v>36</v>
      </c>
      <c r="B11" s="108">
        <v>318566</v>
      </c>
      <c r="C11" s="75">
        <v>185785.13</v>
      </c>
      <c r="D11" s="109">
        <v>13231</v>
      </c>
      <c r="E11" s="78">
        <v>11489.69</v>
      </c>
      <c r="F11" s="110">
        <v>46825</v>
      </c>
      <c r="G11" s="82">
        <v>25897</v>
      </c>
      <c r="H11" s="110">
        <v>317189</v>
      </c>
      <c r="I11" s="82">
        <v>176078.65</v>
      </c>
      <c r="J11" s="110">
        <v>17162</v>
      </c>
      <c r="K11" s="82">
        <v>13624.91</v>
      </c>
      <c r="L11" s="110">
        <v>102342</v>
      </c>
      <c r="M11" s="110">
        <v>83839.48</v>
      </c>
      <c r="N11" s="110">
        <v>14406</v>
      </c>
      <c r="O11" s="547">
        <v>10639.32</v>
      </c>
      <c r="P11" s="109">
        <v>10598</v>
      </c>
      <c r="Q11" s="78">
        <v>4742.68</v>
      </c>
      <c r="R11" s="76">
        <v>65352</v>
      </c>
      <c r="S11" s="78">
        <v>46700.2</v>
      </c>
      <c r="T11" s="76">
        <v>13373</v>
      </c>
      <c r="U11" s="78">
        <v>8953.11</v>
      </c>
      <c r="V11" s="80">
        <v>654453</v>
      </c>
      <c r="W11" s="82">
        <v>418321</v>
      </c>
      <c r="X11" s="76">
        <v>1489016</v>
      </c>
      <c r="Y11" s="78">
        <v>1020595.39</v>
      </c>
      <c r="Z11" s="76">
        <v>22309</v>
      </c>
      <c r="AA11" s="78">
        <v>18063.349999999999</v>
      </c>
      <c r="AB11" s="76">
        <v>260551</v>
      </c>
      <c r="AC11" s="78">
        <v>233027.96</v>
      </c>
      <c r="AD11" s="76">
        <v>105229</v>
      </c>
      <c r="AE11" s="78">
        <v>67774.16</v>
      </c>
      <c r="AF11" s="76">
        <v>349485</v>
      </c>
      <c r="AG11" s="78">
        <v>228732.58</v>
      </c>
      <c r="AH11" s="76">
        <v>84496</v>
      </c>
      <c r="AI11" s="78">
        <v>98476.65</v>
      </c>
      <c r="AJ11" s="76">
        <v>95106</v>
      </c>
      <c r="AK11" s="78">
        <v>71834.66</v>
      </c>
      <c r="AL11" s="551"/>
      <c r="AM11" s="79"/>
      <c r="AN11" s="176">
        <v>509238</v>
      </c>
      <c r="AO11" s="710">
        <v>276664.34000000003</v>
      </c>
      <c r="AP11" s="173">
        <v>9833</v>
      </c>
      <c r="AQ11" s="97">
        <v>6059.4</v>
      </c>
      <c r="AR11" s="98">
        <v>28160</v>
      </c>
      <c r="AS11" s="99">
        <v>26773.96</v>
      </c>
      <c r="AT11" s="80">
        <v>117142</v>
      </c>
      <c r="AU11" s="81">
        <v>58122.07</v>
      </c>
      <c r="AV11" s="101">
        <f t="shared" si="2"/>
        <v>4644062</v>
      </c>
      <c r="AW11" s="111">
        <f t="shared" si="1"/>
        <v>3092195.69</v>
      </c>
      <c r="AX11" s="98">
        <v>6785225.4699999997</v>
      </c>
      <c r="AY11" s="99">
        <v>5479419.2599999998</v>
      </c>
      <c r="AZ11" s="101">
        <f t="shared" si="3"/>
        <v>11429287.469999999</v>
      </c>
      <c r="BA11" s="113">
        <f t="shared" si="4"/>
        <v>8571614.9499999993</v>
      </c>
      <c r="BF11" s="140"/>
      <c r="BG11" s="140"/>
    </row>
    <row r="12" spans="1:59" s="74" customFormat="1" ht="14.25" x14ac:dyDescent="0.3">
      <c r="A12" s="103" t="s">
        <v>37</v>
      </c>
      <c r="B12" s="108"/>
      <c r="C12" s="75"/>
      <c r="D12" s="109"/>
      <c r="E12" s="78"/>
      <c r="F12" s="110"/>
      <c r="G12" s="82"/>
      <c r="H12" s="110"/>
      <c r="I12" s="82"/>
      <c r="J12" s="110"/>
      <c r="K12" s="82"/>
      <c r="L12" s="110"/>
      <c r="M12" s="110"/>
      <c r="N12" s="110"/>
      <c r="O12" s="547"/>
      <c r="P12" s="109"/>
      <c r="Q12" s="78"/>
      <c r="R12" s="76"/>
      <c r="S12" s="78"/>
      <c r="T12" s="76"/>
      <c r="U12" s="78"/>
      <c r="V12" s="80">
        <v>171977</v>
      </c>
      <c r="W12" s="82">
        <v>224535.77</v>
      </c>
      <c r="X12" s="76"/>
      <c r="Y12" s="78"/>
      <c r="Z12" s="76"/>
      <c r="AA12" s="78"/>
      <c r="AB12" s="76"/>
      <c r="AC12" s="78"/>
      <c r="AD12" s="76">
        <v>9532</v>
      </c>
      <c r="AE12" s="78">
        <v>6793.64</v>
      </c>
      <c r="AF12" s="76"/>
      <c r="AG12" s="78"/>
      <c r="AH12" s="76"/>
      <c r="AI12" s="78"/>
      <c r="AJ12" s="76"/>
      <c r="AK12" s="78"/>
      <c r="AL12" s="551"/>
      <c r="AM12" s="79"/>
      <c r="AN12" s="176">
        <v>235320</v>
      </c>
      <c r="AO12" s="710">
        <v>151183.87</v>
      </c>
      <c r="AP12" s="173"/>
      <c r="AQ12" s="97"/>
      <c r="AR12" s="98"/>
      <c r="AS12" s="99"/>
      <c r="AT12" s="80"/>
      <c r="AU12" s="81"/>
      <c r="AV12" s="101">
        <f t="shared" si="2"/>
        <v>416829</v>
      </c>
      <c r="AW12" s="111">
        <f t="shared" si="1"/>
        <v>382513.28</v>
      </c>
      <c r="AX12" s="98"/>
      <c r="AY12" s="99"/>
      <c r="AZ12" s="101">
        <f t="shared" si="3"/>
        <v>416829</v>
      </c>
      <c r="BA12" s="113">
        <f t="shared" si="4"/>
        <v>382513.28</v>
      </c>
    </row>
    <row r="13" spans="1:59" s="74" customFormat="1" ht="14.25" x14ac:dyDescent="0.3">
      <c r="A13" s="103" t="s">
        <v>38</v>
      </c>
      <c r="B13" s="108"/>
      <c r="C13" s="75"/>
      <c r="D13" s="109">
        <v>131</v>
      </c>
      <c r="E13" s="78">
        <v>224.52</v>
      </c>
      <c r="F13" s="110"/>
      <c r="G13" s="82"/>
      <c r="H13" s="110"/>
      <c r="I13" s="82"/>
      <c r="J13" s="110"/>
      <c r="K13" s="82"/>
      <c r="L13" s="110">
        <v>27992</v>
      </c>
      <c r="M13" s="110">
        <v>15271.72</v>
      </c>
      <c r="N13" s="110"/>
      <c r="O13" s="547"/>
      <c r="P13" s="109">
        <v>517</v>
      </c>
      <c r="Q13" s="78">
        <v>572.91999999999996</v>
      </c>
      <c r="R13" s="76"/>
      <c r="S13" s="78"/>
      <c r="T13" s="76">
        <v>595</v>
      </c>
      <c r="U13" s="78">
        <v>517.73</v>
      </c>
      <c r="V13" s="80">
        <v>327265</v>
      </c>
      <c r="W13" s="82">
        <v>136653.26</v>
      </c>
      <c r="X13" s="76"/>
      <c r="Y13" s="78"/>
      <c r="Z13" s="76">
        <v>4070</v>
      </c>
      <c r="AA13" s="78"/>
      <c r="AB13" s="76"/>
      <c r="AC13" s="78"/>
      <c r="AD13" s="76"/>
      <c r="AE13" s="78"/>
      <c r="AF13" s="76"/>
      <c r="AG13" s="78"/>
      <c r="AH13" s="76"/>
      <c r="AI13" s="78"/>
      <c r="AJ13" s="76"/>
      <c r="AK13" s="78"/>
      <c r="AL13" s="551"/>
      <c r="AM13" s="79"/>
      <c r="AN13" s="176">
        <v>317989</v>
      </c>
      <c r="AO13" s="710">
        <v>277448.61</v>
      </c>
      <c r="AP13" s="173">
        <v>39</v>
      </c>
      <c r="AQ13" s="97">
        <v>12.23</v>
      </c>
      <c r="AR13" s="98"/>
      <c r="AS13" s="99"/>
      <c r="AT13" s="80"/>
      <c r="AU13" s="81"/>
      <c r="AV13" s="101">
        <f t="shared" si="2"/>
        <v>678598</v>
      </c>
      <c r="AW13" s="111">
        <f t="shared" si="1"/>
        <v>430700.99</v>
      </c>
      <c r="AX13" s="98"/>
      <c r="AY13" s="99"/>
      <c r="AZ13" s="101">
        <f t="shared" si="3"/>
        <v>678598</v>
      </c>
      <c r="BA13" s="113">
        <f t="shared" si="4"/>
        <v>430700.99</v>
      </c>
    </row>
    <row r="14" spans="1:59" s="74" customFormat="1" ht="14.25" x14ac:dyDescent="0.3">
      <c r="A14" s="103" t="s">
        <v>39</v>
      </c>
      <c r="B14" s="116">
        <v>845</v>
      </c>
      <c r="C14" s="75">
        <v>428.47</v>
      </c>
      <c r="D14" s="117">
        <v>861</v>
      </c>
      <c r="E14" s="78">
        <v>319.54000000000002</v>
      </c>
      <c r="F14" s="111">
        <v>86</v>
      </c>
      <c r="G14" s="82">
        <v>10</v>
      </c>
      <c r="H14" s="111">
        <v>1210</v>
      </c>
      <c r="I14" s="82">
        <v>1429.05</v>
      </c>
      <c r="J14" s="111">
        <v>691</v>
      </c>
      <c r="K14" s="82">
        <v>199.83</v>
      </c>
      <c r="L14" s="111"/>
      <c r="M14" s="111"/>
      <c r="N14" s="111"/>
      <c r="O14" s="547"/>
      <c r="P14" s="117"/>
      <c r="Q14" s="78"/>
      <c r="R14" s="87"/>
      <c r="S14" s="78"/>
      <c r="T14" s="87"/>
      <c r="U14" s="78"/>
      <c r="V14" s="101"/>
      <c r="W14" s="82"/>
      <c r="X14" s="87">
        <v>604</v>
      </c>
      <c r="Y14" s="78">
        <v>323.73</v>
      </c>
      <c r="Z14" s="83">
        <v>208</v>
      </c>
      <c r="AA14" s="84">
        <v>59.13</v>
      </c>
      <c r="AB14" s="87"/>
      <c r="AC14" s="78"/>
      <c r="AD14" s="118">
        <v>168</v>
      </c>
      <c r="AE14" s="78">
        <v>118.37</v>
      </c>
      <c r="AF14" s="87"/>
      <c r="AG14" s="78"/>
      <c r="AH14" s="87"/>
      <c r="AI14" s="78"/>
      <c r="AJ14" s="87">
        <v>43</v>
      </c>
      <c r="AK14" s="78">
        <v>21.93</v>
      </c>
      <c r="AL14" s="551"/>
      <c r="AM14" s="79"/>
      <c r="AN14" s="176">
        <v>735</v>
      </c>
      <c r="AO14" s="710">
        <v>1074.79</v>
      </c>
      <c r="AP14" s="173">
        <v>639</v>
      </c>
      <c r="AQ14" s="97">
        <v>433.26</v>
      </c>
      <c r="AR14" s="98">
        <v>100</v>
      </c>
      <c r="AS14" s="99">
        <v>22.75</v>
      </c>
      <c r="AT14" s="101"/>
      <c r="AU14" s="81"/>
      <c r="AV14" s="101">
        <f t="shared" si="2"/>
        <v>6190</v>
      </c>
      <c r="AW14" s="111">
        <f t="shared" si="1"/>
        <v>4440.8499999999995</v>
      </c>
      <c r="AX14" s="101">
        <v>483.85</v>
      </c>
      <c r="AY14" s="99">
        <v>891.6</v>
      </c>
      <c r="AZ14" s="101">
        <f t="shared" si="3"/>
        <v>6673.85</v>
      </c>
      <c r="BA14" s="113">
        <f t="shared" si="4"/>
        <v>5332.45</v>
      </c>
    </row>
    <row r="15" spans="1:59" s="74" customFormat="1" ht="14.25" x14ac:dyDescent="0.3">
      <c r="A15" s="103" t="s">
        <v>40</v>
      </c>
      <c r="B15" s="108">
        <v>30</v>
      </c>
      <c r="C15" s="75">
        <v>-4.05</v>
      </c>
      <c r="D15" s="109">
        <v>72</v>
      </c>
      <c r="E15" s="78">
        <v>26.82</v>
      </c>
      <c r="F15" s="110">
        <v>200</v>
      </c>
      <c r="G15" s="82">
        <v>70</v>
      </c>
      <c r="H15" s="110">
        <v>543</v>
      </c>
      <c r="I15" s="82">
        <v>359.34</v>
      </c>
      <c r="J15" s="110">
        <v>124</v>
      </c>
      <c r="K15" s="82">
        <v>79.150000000000006</v>
      </c>
      <c r="L15" s="110">
        <v>35</v>
      </c>
      <c r="M15" s="110">
        <v>19</v>
      </c>
      <c r="N15" s="110">
        <v>405</v>
      </c>
      <c r="O15" s="547">
        <v>264.83999999999997</v>
      </c>
      <c r="P15" s="109">
        <v>39</v>
      </c>
      <c r="Q15" s="78">
        <v>37.479999999999997</v>
      </c>
      <c r="R15" s="76"/>
      <c r="S15" s="78"/>
      <c r="T15" s="76">
        <v>142</v>
      </c>
      <c r="U15" s="78">
        <v>93.39</v>
      </c>
      <c r="V15" s="80">
        <v>2578</v>
      </c>
      <c r="W15" s="82">
        <v>2148.06</v>
      </c>
      <c r="X15" s="76">
        <v>11936</v>
      </c>
      <c r="Y15" s="78">
        <v>7426.67</v>
      </c>
      <c r="Z15" s="83"/>
      <c r="AA15" s="84"/>
      <c r="AB15" s="76">
        <v>146</v>
      </c>
      <c r="AC15" s="78">
        <v>117.71</v>
      </c>
      <c r="AD15" s="76">
        <v>50</v>
      </c>
      <c r="AE15" s="78"/>
      <c r="AF15" s="76">
        <v>5546</v>
      </c>
      <c r="AG15" s="78">
        <v>1046.19</v>
      </c>
      <c r="AH15" s="76">
        <v>552</v>
      </c>
      <c r="AI15" s="78">
        <v>464.26</v>
      </c>
      <c r="AJ15" s="76">
        <v>95</v>
      </c>
      <c r="AK15" s="78">
        <v>118.68</v>
      </c>
      <c r="AL15" s="551"/>
      <c r="AM15" s="79"/>
      <c r="AN15" s="176">
        <v>4839</v>
      </c>
      <c r="AO15" s="710">
        <v>151.78</v>
      </c>
      <c r="AP15" s="173"/>
      <c r="AQ15" s="97"/>
      <c r="AR15" s="98">
        <v>309</v>
      </c>
      <c r="AS15" s="99">
        <v>330.51</v>
      </c>
      <c r="AT15" s="80">
        <v>125</v>
      </c>
      <c r="AU15" s="81">
        <v>57.06</v>
      </c>
      <c r="AV15" s="101">
        <f t="shared" si="2"/>
        <v>27766</v>
      </c>
      <c r="AW15" s="111">
        <f t="shared" si="1"/>
        <v>12806.890000000001</v>
      </c>
      <c r="AX15" s="80">
        <f>1093.37+872.03+997.39+120.08</f>
        <v>3082.87</v>
      </c>
      <c r="AY15" s="99">
        <v>2437.84</v>
      </c>
      <c r="AZ15" s="101">
        <f t="shared" si="3"/>
        <v>30848.87</v>
      </c>
      <c r="BA15" s="113">
        <f t="shared" si="4"/>
        <v>15244.730000000001</v>
      </c>
    </row>
    <row r="16" spans="1:59" s="74" customFormat="1" ht="14.25" x14ac:dyDescent="0.3">
      <c r="A16" s="103" t="s">
        <v>41</v>
      </c>
      <c r="B16" s="108"/>
      <c r="C16" s="75"/>
      <c r="D16" s="109"/>
      <c r="E16" s="78"/>
      <c r="F16" s="110"/>
      <c r="G16" s="82"/>
      <c r="H16" s="110"/>
      <c r="I16" s="82"/>
      <c r="J16" s="110"/>
      <c r="K16" s="82"/>
      <c r="L16" s="110"/>
      <c r="M16" s="82"/>
      <c r="N16" s="110"/>
      <c r="O16" s="547"/>
      <c r="P16" s="109"/>
      <c r="Q16" s="78"/>
      <c r="R16" s="76"/>
      <c r="S16" s="78"/>
      <c r="T16" s="76"/>
      <c r="U16" s="78"/>
      <c r="V16" s="80"/>
      <c r="W16" s="82"/>
      <c r="X16" s="76"/>
      <c r="Y16" s="78"/>
      <c r="Z16" s="83"/>
      <c r="AA16" s="84"/>
      <c r="AB16" s="76"/>
      <c r="AC16" s="78"/>
      <c r="AD16" s="76"/>
      <c r="AE16" s="78"/>
      <c r="AF16" s="76"/>
      <c r="AG16" s="78"/>
      <c r="AH16" s="76"/>
      <c r="AI16" s="78"/>
      <c r="AJ16" s="76"/>
      <c r="AK16" s="78"/>
      <c r="AL16" s="551"/>
      <c r="AM16" s="79"/>
      <c r="AN16" s="176"/>
      <c r="AO16" s="710"/>
      <c r="AP16" s="173"/>
      <c r="AQ16" s="97"/>
      <c r="AR16" s="98"/>
      <c r="AS16" s="99"/>
      <c r="AT16" s="80"/>
      <c r="AU16" s="81"/>
      <c r="AV16" s="101"/>
      <c r="AW16" s="111">
        <f t="shared" si="1"/>
        <v>0</v>
      </c>
      <c r="AX16" s="80"/>
      <c r="AY16" s="99"/>
      <c r="AZ16" s="101">
        <f t="shared" si="3"/>
        <v>0</v>
      </c>
      <c r="BA16" s="113">
        <f t="shared" si="4"/>
        <v>0</v>
      </c>
    </row>
    <row r="17" spans="1:53" s="74" customFormat="1" ht="14.25" x14ac:dyDescent="0.3">
      <c r="A17" s="103" t="s">
        <v>42</v>
      </c>
      <c r="B17" s="108"/>
      <c r="C17" s="75"/>
      <c r="D17" s="109"/>
      <c r="E17" s="78"/>
      <c r="F17" s="110"/>
      <c r="G17" s="82"/>
      <c r="H17" s="110"/>
      <c r="I17" s="82"/>
      <c r="J17" s="110"/>
      <c r="K17" s="82"/>
      <c r="L17" s="110"/>
      <c r="M17" s="82"/>
      <c r="N17" s="110"/>
      <c r="O17" s="547"/>
      <c r="P17" s="109"/>
      <c r="Q17" s="78"/>
      <c r="R17" s="76"/>
      <c r="S17" s="78"/>
      <c r="T17" s="76"/>
      <c r="U17" s="78"/>
      <c r="V17" s="80"/>
      <c r="W17" s="82"/>
      <c r="X17" s="76"/>
      <c r="Y17" s="78"/>
      <c r="Z17" s="83"/>
      <c r="AA17" s="84"/>
      <c r="AB17" s="76"/>
      <c r="AC17" s="78"/>
      <c r="AD17" s="76"/>
      <c r="AE17" s="78"/>
      <c r="AF17" s="76">
        <v>80396</v>
      </c>
      <c r="AG17" s="78">
        <v>77811.58</v>
      </c>
      <c r="AH17" s="76"/>
      <c r="AI17" s="78"/>
      <c r="AJ17" s="76"/>
      <c r="AK17" s="78"/>
      <c r="AL17" s="551"/>
      <c r="AM17" s="79"/>
      <c r="AN17" s="176"/>
      <c r="AO17" s="710"/>
      <c r="AP17" s="173">
        <v>26</v>
      </c>
      <c r="AQ17" s="97">
        <v>23.88</v>
      </c>
      <c r="AR17" s="98"/>
      <c r="AS17" s="99"/>
      <c r="AT17" s="80"/>
      <c r="AU17" s="81"/>
      <c r="AV17" s="101">
        <f t="shared" ref="AV17:AV22" si="5">SUM(B17+D17+F17+H17+J17+L17+N17+P17+R17+T17+V17+X17+Z17+AB17+AD17+AF17+AH17+AJ17+AL17+AN17+AP17+AR17+AT17)</f>
        <v>80422</v>
      </c>
      <c r="AW17" s="111">
        <f t="shared" si="1"/>
        <v>77835.460000000006</v>
      </c>
      <c r="AX17" s="80"/>
      <c r="AY17" s="99"/>
      <c r="AZ17" s="101">
        <f t="shared" si="3"/>
        <v>80422</v>
      </c>
      <c r="BA17" s="113">
        <f t="shared" si="4"/>
        <v>77835.460000000006</v>
      </c>
    </row>
    <row r="18" spans="1:53" s="74" customFormat="1" ht="14.25" x14ac:dyDescent="0.3">
      <c r="A18" s="103" t="s">
        <v>43</v>
      </c>
      <c r="B18" s="108"/>
      <c r="C18" s="75"/>
      <c r="D18" s="109"/>
      <c r="E18" s="78"/>
      <c r="F18" s="110"/>
      <c r="G18" s="82"/>
      <c r="H18" s="110"/>
      <c r="I18" s="82"/>
      <c r="J18" s="110"/>
      <c r="K18" s="82"/>
      <c r="L18" s="110"/>
      <c r="M18" s="82"/>
      <c r="N18" s="110"/>
      <c r="O18" s="547"/>
      <c r="P18" s="109"/>
      <c r="Q18" s="78"/>
      <c r="R18" s="76"/>
      <c r="S18" s="78"/>
      <c r="T18" s="76"/>
      <c r="U18" s="78"/>
      <c r="V18" s="80">
        <v>56534</v>
      </c>
      <c r="W18" s="82">
        <v>40216</v>
      </c>
      <c r="X18" s="76"/>
      <c r="Y18" s="78"/>
      <c r="Z18" s="83"/>
      <c r="AA18" s="84"/>
      <c r="AB18" s="76"/>
      <c r="AC18" s="78"/>
      <c r="AD18" s="76"/>
      <c r="AE18" s="78"/>
      <c r="AF18" s="76"/>
      <c r="AG18" s="78"/>
      <c r="AH18" s="76"/>
      <c r="AI18" s="78"/>
      <c r="AJ18" s="76"/>
      <c r="AK18" s="78"/>
      <c r="AL18" s="551"/>
      <c r="AM18" s="79"/>
      <c r="AN18" s="176"/>
      <c r="AO18" s="710"/>
      <c r="AP18" s="173"/>
      <c r="AQ18" s="97"/>
      <c r="AR18" s="98"/>
      <c r="AS18" s="99"/>
      <c r="AT18" s="80"/>
      <c r="AU18" s="81"/>
      <c r="AV18" s="101">
        <f t="shared" si="5"/>
        <v>56534</v>
      </c>
      <c r="AW18" s="111">
        <f t="shared" si="1"/>
        <v>40216</v>
      </c>
      <c r="AX18" s="80"/>
      <c r="AY18" s="99"/>
      <c r="AZ18" s="101">
        <f t="shared" si="3"/>
        <v>56534</v>
      </c>
      <c r="BA18" s="113">
        <f t="shared" si="4"/>
        <v>40216</v>
      </c>
    </row>
    <row r="19" spans="1:53" s="74" customFormat="1" ht="14.25" x14ac:dyDescent="0.3">
      <c r="A19" s="103" t="s">
        <v>44</v>
      </c>
      <c r="B19" s="108"/>
      <c r="C19" s="75"/>
      <c r="D19" s="109"/>
      <c r="E19" s="78"/>
      <c r="F19" s="110"/>
      <c r="G19" s="82"/>
      <c r="H19" s="110"/>
      <c r="I19" s="82"/>
      <c r="J19" s="110"/>
      <c r="K19" s="82"/>
      <c r="L19" s="110"/>
      <c r="M19" s="82"/>
      <c r="N19" s="110"/>
      <c r="O19" s="547"/>
      <c r="P19" s="109"/>
      <c r="Q19" s="78"/>
      <c r="R19" s="76"/>
      <c r="S19" s="78"/>
      <c r="T19" s="76"/>
      <c r="U19" s="78"/>
      <c r="V19" s="80">
        <v>1427</v>
      </c>
      <c r="W19" s="82">
        <v>1351.27</v>
      </c>
      <c r="X19" s="76"/>
      <c r="Y19" s="78"/>
      <c r="Z19" s="83"/>
      <c r="AA19" s="84"/>
      <c r="AB19" s="76"/>
      <c r="AC19" s="78"/>
      <c r="AD19" s="76"/>
      <c r="AE19" s="78"/>
      <c r="AF19" s="76"/>
      <c r="AG19" s="78"/>
      <c r="AH19" s="76"/>
      <c r="AI19" s="78"/>
      <c r="AJ19" s="76"/>
      <c r="AK19" s="78"/>
      <c r="AL19" s="551"/>
      <c r="AM19" s="79"/>
      <c r="AN19" s="176"/>
      <c r="AO19" s="710"/>
      <c r="AP19" s="173"/>
      <c r="AQ19" s="97"/>
      <c r="AR19" s="98"/>
      <c r="AS19" s="99"/>
      <c r="AT19" s="80"/>
      <c r="AU19" s="81"/>
      <c r="AV19" s="101">
        <f t="shared" si="5"/>
        <v>1427</v>
      </c>
      <c r="AW19" s="111">
        <f t="shared" si="1"/>
        <v>1351.27</v>
      </c>
      <c r="AX19" s="80"/>
      <c r="AY19" s="99"/>
      <c r="AZ19" s="101">
        <f t="shared" si="3"/>
        <v>1427</v>
      </c>
      <c r="BA19" s="113">
        <f t="shared" si="4"/>
        <v>1351.27</v>
      </c>
    </row>
    <row r="20" spans="1:53" s="74" customFormat="1" ht="14.25" x14ac:dyDescent="0.3">
      <c r="A20" s="103" t="s">
        <v>45</v>
      </c>
      <c r="B20" s="108"/>
      <c r="C20" s="75"/>
      <c r="D20" s="109"/>
      <c r="E20" s="78"/>
      <c r="F20" s="110">
        <v>474</v>
      </c>
      <c r="G20" s="82">
        <v>558</v>
      </c>
      <c r="H20" s="110">
        <v>730</v>
      </c>
      <c r="I20" s="82">
        <v>1010.53</v>
      </c>
      <c r="J20" s="110"/>
      <c r="K20" s="82"/>
      <c r="L20" s="110"/>
      <c r="M20" s="82"/>
      <c r="N20" s="110">
        <v>49</v>
      </c>
      <c r="O20" s="547">
        <v>59.23</v>
      </c>
      <c r="P20" s="109">
        <v>11</v>
      </c>
      <c r="Q20" s="78">
        <v>9.15</v>
      </c>
      <c r="R20" s="76"/>
      <c r="S20" s="78"/>
      <c r="T20" s="76"/>
      <c r="U20" s="78"/>
      <c r="V20" s="80">
        <v>1910</v>
      </c>
      <c r="W20" s="82">
        <v>1989.16</v>
      </c>
      <c r="X20" s="76">
        <v>2824</v>
      </c>
      <c r="Y20" s="78">
        <v>3339.99</v>
      </c>
      <c r="Z20" s="83"/>
      <c r="AA20" s="84"/>
      <c r="AB20" s="76"/>
      <c r="AC20" s="78"/>
      <c r="AD20" s="76">
        <v>128</v>
      </c>
      <c r="AE20" s="78">
        <v>110.68</v>
      </c>
      <c r="AF20" s="76"/>
      <c r="AG20" s="78"/>
      <c r="AH20" s="76"/>
      <c r="AI20" s="78"/>
      <c r="AJ20" s="76"/>
      <c r="AK20" s="78"/>
      <c r="AL20" s="551"/>
      <c r="AM20" s="79"/>
      <c r="AN20" s="176">
        <v>928</v>
      </c>
      <c r="AO20" s="710">
        <v>1037.95</v>
      </c>
      <c r="AP20" s="173"/>
      <c r="AQ20" s="97"/>
      <c r="AR20" s="98"/>
      <c r="AS20" s="99"/>
      <c r="AT20" s="80">
        <v>294</v>
      </c>
      <c r="AU20" s="81">
        <v>364.26</v>
      </c>
      <c r="AV20" s="101">
        <f t="shared" si="5"/>
        <v>7348</v>
      </c>
      <c r="AW20" s="111">
        <f t="shared" si="1"/>
        <v>8478.9499999999989</v>
      </c>
      <c r="AX20" s="80">
        <v>57090.879999999997</v>
      </c>
      <c r="AY20" s="99">
        <v>64483.76</v>
      </c>
      <c r="AZ20" s="101">
        <f t="shared" si="3"/>
        <v>64438.879999999997</v>
      </c>
      <c r="BA20" s="113">
        <f t="shared" si="4"/>
        <v>72962.710000000006</v>
      </c>
    </row>
    <row r="21" spans="1:53" s="74" customFormat="1" ht="14.25" x14ac:dyDescent="0.3">
      <c r="A21" s="103" t="s">
        <v>46</v>
      </c>
      <c r="B21" s="108"/>
      <c r="C21" s="75"/>
      <c r="D21" s="109"/>
      <c r="E21" s="78"/>
      <c r="F21" s="110"/>
      <c r="G21" s="82"/>
      <c r="H21" s="110">
        <v>2724</v>
      </c>
      <c r="I21" s="82">
        <v>1228.05</v>
      </c>
      <c r="J21" s="110"/>
      <c r="K21" s="82"/>
      <c r="L21" s="110"/>
      <c r="M21" s="82"/>
      <c r="N21" s="110">
        <v>62</v>
      </c>
      <c r="O21" s="547">
        <v>34.81</v>
      </c>
      <c r="P21" s="109"/>
      <c r="Q21" s="78"/>
      <c r="R21" s="76"/>
      <c r="S21" s="78"/>
      <c r="T21" s="76"/>
      <c r="U21" s="78"/>
      <c r="V21" s="80"/>
      <c r="W21" s="82"/>
      <c r="X21" s="76"/>
      <c r="Y21" s="78"/>
      <c r="Z21" s="83"/>
      <c r="AA21" s="84"/>
      <c r="AB21" s="76">
        <v>106</v>
      </c>
      <c r="AC21" s="78">
        <v>44.84</v>
      </c>
      <c r="AD21" s="76"/>
      <c r="AE21" s="78"/>
      <c r="AF21" s="76"/>
      <c r="AG21" s="78"/>
      <c r="AH21" s="76"/>
      <c r="AI21" s="78"/>
      <c r="AJ21" s="76">
        <v>41</v>
      </c>
      <c r="AK21" s="78">
        <v>77.7</v>
      </c>
      <c r="AL21" s="551"/>
      <c r="AM21" s="79"/>
      <c r="AN21" s="176"/>
      <c r="AO21" s="710"/>
      <c r="AP21" s="173"/>
      <c r="AQ21" s="97"/>
      <c r="AR21" s="98">
        <v>32</v>
      </c>
      <c r="AS21" s="99"/>
      <c r="AT21" s="80"/>
      <c r="AU21" s="81"/>
      <c r="AV21" s="101">
        <f t="shared" si="5"/>
        <v>2965</v>
      </c>
      <c r="AW21" s="111">
        <f t="shared" si="1"/>
        <v>1385.3999999999999</v>
      </c>
      <c r="AX21" s="80"/>
      <c r="AY21" s="99"/>
      <c r="AZ21" s="101">
        <f t="shared" si="3"/>
        <v>2965</v>
      </c>
      <c r="BA21" s="113">
        <f t="shared" si="4"/>
        <v>1385.3999999999999</v>
      </c>
    </row>
    <row r="22" spans="1:53" s="74" customFormat="1" ht="14.25" x14ac:dyDescent="0.3">
      <c r="A22" s="103" t="s">
        <v>47</v>
      </c>
      <c r="B22" s="108"/>
      <c r="C22" s="75"/>
      <c r="D22" s="109">
        <v>83</v>
      </c>
      <c r="E22" s="78">
        <v>77.739999999999995</v>
      </c>
      <c r="F22" s="110"/>
      <c r="G22" s="82"/>
      <c r="H22" s="110"/>
      <c r="I22" s="82"/>
      <c r="J22" s="110"/>
      <c r="K22" s="82"/>
      <c r="L22" s="110"/>
      <c r="M22" s="82"/>
      <c r="N22" s="110">
        <v>140</v>
      </c>
      <c r="O22" s="547">
        <v>99.7</v>
      </c>
      <c r="P22" s="109"/>
      <c r="Q22" s="78"/>
      <c r="R22" s="76"/>
      <c r="S22" s="78"/>
      <c r="T22" s="76">
        <f>2516+2685+143</f>
        <v>5344</v>
      </c>
      <c r="U22" s="78">
        <v>10704.87</v>
      </c>
      <c r="V22" s="80"/>
      <c r="W22" s="82"/>
      <c r="X22" s="76"/>
      <c r="Y22" s="78"/>
      <c r="Z22" s="83">
        <f>38</f>
        <v>38</v>
      </c>
      <c r="AA22" s="84">
        <v>13.52</v>
      </c>
      <c r="AB22" s="76"/>
      <c r="AC22" s="78"/>
      <c r="AD22" s="76">
        <v>171</v>
      </c>
      <c r="AE22" s="78">
        <v>25.4</v>
      </c>
      <c r="AF22" s="76">
        <v>3244</v>
      </c>
      <c r="AG22" s="78">
        <v>2071.5300000000002</v>
      </c>
      <c r="AH22" s="76"/>
      <c r="AI22" s="78"/>
      <c r="AJ22" s="76">
        <v>904</v>
      </c>
      <c r="AK22" s="78">
        <v>1018.15</v>
      </c>
      <c r="AL22" s="551"/>
      <c r="AM22" s="79"/>
      <c r="AN22" s="176">
        <v>226</v>
      </c>
      <c r="AO22" s="710">
        <v>107.99</v>
      </c>
      <c r="AP22" s="173">
        <v>176</v>
      </c>
      <c r="AQ22" s="97">
        <v>148.69999999999999</v>
      </c>
      <c r="AR22" s="98">
        <f>469+49+104+192</f>
        <v>814</v>
      </c>
      <c r="AS22" s="99">
        <v>17138.82</v>
      </c>
      <c r="AT22" s="80">
        <v>9967</v>
      </c>
      <c r="AU22" s="81">
        <v>6064.33</v>
      </c>
      <c r="AV22" s="101">
        <f t="shared" si="5"/>
        <v>21107</v>
      </c>
      <c r="AW22" s="111">
        <f t="shared" si="1"/>
        <v>37470.75</v>
      </c>
      <c r="AX22" s="80">
        <v>353.77</v>
      </c>
      <c r="AY22" s="99">
        <v>396.15</v>
      </c>
      <c r="AZ22" s="101">
        <f t="shared" si="3"/>
        <v>21460.77</v>
      </c>
      <c r="BA22" s="113">
        <f t="shared" si="4"/>
        <v>37866.9</v>
      </c>
    </row>
    <row r="23" spans="1:53" s="74" customFormat="1" ht="14.25" x14ac:dyDescent="0.3">
      <c r="A23" s="103" t="s">
        <v>48</v>
      </c>
      <c r="B23" s="108"/>
      <c r="C23" s="75"/>
      <c r="D23" s="109"/>
      <c r="E23" s="78"/>
      <c r="F23" s="110"/>
      <c r="G23" s="82"/>
      <c r="H23" s="110"/>
      <c r="I23" s="82"/>
      <c r="J23" s="110"/>
      <c r="K23" s="82"/>
      <c r="L23" s="110"/>
      <c r="M23" s="82"/>
      <c r="N23" s="110"/>
      <c r="O23" s="547"/>
      <c r="P23" s="109"/>
      <c r="Q23" s="78"/>
      <c r="R23" s="76"/>
      <c r="S23" s="78"/>
      <c r="T23" s="76"/>
      <c r="U23" s="78"/>
      <c r="V23" s="80"/>
      <c r="W23" s="82"/>
      <c r="X23" s="76"/>
      <c r="Y23" s="78"/>
      <c r="Z23" s="83"/>
      <c r="AA23" s="84"/>
      <c r="AB23" s="76"/>
      <c r="AC23" s="78"/>
      <c r="AD23" s="76"/>
      <c r="AE23" s="78"/>
      <c r="AF23" s="76"/>
      <c r="AG23" s="78"/>
      <c r="AH23" s="76"/>
      <c r="AI23" s="78"/>
      <c r="AJ23" s="76"/>
      <c r="AK23" s="78"/>
      <c r="AL23" s="551"/>
      <c r="AM23" s="79"/>
      <c r="AN23" s="80"/>
      <c r="AO23" s="710"/>
      <c r="AP23" s="173"/>
      <c r="AQ23" s="97"/>
      <c r="AR23" s="98"/>
      <c r="AS23" s="99"/>
      <c r="AT23" s="80"/>
      <c r="AU23" s="81"/>
      <c r="AV23" s="101"/>
      <c r="AW23" s="111">
        <f t="shared" si="1"/>
        <v>0</v>
      </c>
      <c r="AX23" s="80"/>
      <c r="AY23" s="99"/>
      <c r="AZ23" s="101"/>
      <c r="BA23" s="113"/>
    </row>
    <row r="24" spans="1:53" s="74" customFormat="1" ht="14.25" x14ac:dyDescent="0.3">
      <c r="A24" s="103" t="s">
        <v>31</v>
      </c>
      <c r="B24" s="116">
        <v>-63738</v>
      </c>
      <c r="C24" s="75">
        <v>-25253.98</v>
      </c>
      <c r="D24" s="117">
        <v>-20601</v>
      </c>
      <c r="E24" s="78">
        <v>-6014.87</v>
      </c>
      <c r="F24" s="111">
        <v>-18172</v>
      </c>
      <c r="G24" s="82">
        <v>-4217</v>
      </c>
      <c r="H24" s="111">
        <v>-27779</v>
      </c>
      <c r="I24" s="82">
        <v>-8047.39</v>
      </c>
      <c r="J24" s="111">
        <v>-9130</v>
      </c>
      <c r="K24" s="82">
        <v>-2445.6799999999998</v>
      </c>
      <c r="L24" s="111">
        <v>-14820</v>
      </c>
      <c r="M24" s="111">
        <v>-6695.79</v>
      </c>
      <c r="N24" s="111">
        <v>-10256</v>
      </c>
      <c r="O24" s="547">
        <v>-7854.32</v>
      </c>
      <c r="P24" s="117">
        <v>-12267</v>
      </c>
      <c r="Q24" s="78">
        <v>-3765.06</v>
      </c>
      <c r="R24" s="87">
        <v>-25712</v>
      </c>
      <c r="S24" s="78">
        <v>-6612.79</v>
      </c>
      <c r="T24" s="87">
        <v>-13177</v>
      </c>
      <c r="U24" s="78">
        <v>-5672.6</v>
      </c>
      <c r="V24" s="101">
        <v>-125003</v>
      </c>
      <c r="W24" s="82">
        <v>-51019.43</v>
      </c>
      <c r="X24" s="87">
        <v>-186806</v>
      </c>
      <c r="Y24" s="78">
        <v>-72393.67</v>
      </c>
      <c r="Z24" s="83">
        <v>-4470</v>
      </c>
      <c r="AA24" s="84">
        <v>-2600.6999999999998</v>
      </c>
      <c r="AB24" s="87">
        <v>-26192</v>
      </c>
      <c r="AC24" s="78">
        <v>-10371.19</v>
      </c>
      <c r="AD24" s="118">
        <v>-48344</v>
      </c>
      <c r="AE24" s="78">
        <v>-16580.75</v>
      </c>
      <c r="AF24" s="87">
        <v>-110890</v>
      </c>
      <c r="AG24" s="78">
        <v>-28929.68</v>
      </c>
      <c r="AH24" s="87">
        <v>-66905</v>
      </c>
      <c r="AI24" s="78">
        <v>-16102.23</v>
      </c>
      <c r="AJ24" s="87">
        <v>-5141</v>
      </c>
      <c r="AK24" s="78">
        <v>-1858.82</v>
      </c>
      <c r="AL24" s="551"/>
      <c r="AM24" s="79"/>
      <c r="AN24" s="176">
        <v>-71151</v>
      </c>
      <c r="AO24" s="710">
        <v>-27696.73</v>
      </c>
      <c r="AP24" s="173">
        <v>-1410</v>
      </c>
      <c r="AQ24" s="97">
        <v>-436.14</v>
      </c>
      <c r="AR24" s="98">
        <v>-16579</v>
      </c>
      <c r="AS24" s="99">
        <v>-4916.8</v>
      </c>
      <c r="AT24" s="101">
        <v>-97571</v>
      </c>
      <c r="AU24" s="81">
        <v>-27410.43</v>
      </c>
      <c r="AV24" s="101">
        <f>SUM(B24+D24+F24+H24+J24+L24+N24+P24+R24+T24+V24+X24+Z24+AB24+AD24+AF24+AH24+AJ24+AL24+AN24+AP24+AR24+AT24)</f>
        <v>-976114</v>
      </c>
      <c r="AW24" s="111">
        <f t="shared" si="1"/>
        <v>-336896.05</v>
      </c>
      <c r="AX24" s="101">
        <v>-58405.4</v>
      </c>
      <c r="AY24" s="99">
        <v>-25775.25</v>
      </c>
      <c r="AZ24" s="101">
        <f>AV24+AX24</f>
        <v>-1034519.4</v>
      </c>
      <c r="BA24" s="113">
        <f>AW24+AY24</f>
        <v>-362671.3</v>
      </c>
    </row>
    <row r="25" spans="1:53" s="74" customFormat="1" ht="14.25" x14ac:dyDescent="0.3">
      <c r="A25" s="103" t="s">
        <v>32</v>
      </c>
      <c r="B25" s="108"/>
      <c r="C25" s="75"/>
      <c r="D25" s="109"/>
      <c r="E25" s="78"/>
      <c r="F25" s="110"/>
      <c r="G25" s="82"/>
      <c r="H25" s="110"/>
      <c r="I25" s="82"/>
      <c r="J25" s="110"/>
      <c r="K25" s="82"/>
      <c r="L25" s="110"/>
      <c r="M25" s="82"/>
      <c r="N25" s="110"/>
      <c r="O25" s="547"/>
      <c r="P25" s="109"/>
      <c r="Q25" s="78"/>
      <c r="R25" s="76"/>
      <c r="S25" s="78"/>
      <c r="T25" s="76"/>
      <c r="U25" s="78"/>
      <c r="V25" s="80"/>
      <c r="W25" s="82"/>
      <c r="X25" s="76"/>
      <c r="Y25" s="78"/>
      <c r="Z25" s="83"/>
      <c r="AA25" s="84"/>
      <c r="AB25" s="76"/>
      <c r="AC25" s="78"/>
      <c r="AD25" s="76"/>
      <c r="AE25" s="78"/>
      <c r="AF25" s="76"/>
      <c r="AG25" s="78"/>
      <c r="AH25" s="76"/>
      <c r="AI25" s="78"/>
      <c r="AJ25" s="76"/>
      <c r="AK25" s="78"/>
      <c r="AL25" s="551"/>
      <c r="AM25" s="79"/>
      <c r="AN25" s="80"/>
      <c r="AO25" s="710"/>
      <c r="AP25" s="173"/>
      <c r="AQ25" s="97"/>
      <c r="AR25" s="98"/>
      <c r="AS25" s="99"/>
      <c r="AT25" s="80"/>
      <c r="AU25" s="81"/>
      <c r="AV25" s="101"/>
      <c r="AW25" s="111">
        <f t="shared" si="1"/>
        <v>0</v>
      </c>
      <c r="AX25" s="98"/>
      <c r="AY25" s="99"/>
      <c r="AZ25" s="101"/>
      <c r="BA25" s="113"/>
    </row>
    <row r="26" spans="1:53" s="74" customFormat="1" ht="14.25" x14ac:dyDescent="0.3">
      <c r="A26" s="103" t="s">
        <v>49</v>
      </c>
      <c r="B26" s="108"/>
      <c r="C26" s="75"/>
      <c r="D26" s="109"/>
      <c r="E26" s="78"/>
      <c r="F26" s="110"/>
      <c r="G26" s="82"/>
      <c r="H26" s="110"/>
      <c r="I26" s="82"/>
      <c r="J26" s="110"/>
      <c r="K26" s="82"/>
      <c r="L26" s="110"/>
      <c r="M26" s="82"/>
      <c r="N26" s="110"/>
      <c r="O26" s="547"/>
      <c r="P26" s="109"/>
      <c r="Q26" s="78"/>
      <c r="R26" s="76"/>
      <c r="S26" s="78"/>
      <c r="T26" s="76"/>
      <c r="U26" s="78"/>
      <c r="V26" s="80"/>
      <c r="W26" s="82"/>
      <c r="X26" s="76"/>
      <c r="Y26" s="78"/>
      <c r="Z26" s="83"/>
      <c r="AA26" s="84"/>
      <c r="AB26" s="76"/>
      <c r="AC26" s="78"/>
      <c r="AD26" s="76"/>
      <c r="AE26" s="78"/>
      <c r="AF26" s="76"/>
      <c r="AG26" s="78"/>
      <c r="AH26" s="76"/>
      <c r="AI26" s="78"/>
      <c r="AJ26" s="76"/>
      <c r="AK26" s="78"/>
      <c r="AL26" s="551"/>
      <c r="AM26" s="79"/>
      <c r="AN26" s="80"/>
      <c r="AO26" s="710"/>
      <c r="AP26" s="173"/>
      <c r="AQ26" s="97"/>
      <c r="AR26" s="98"/>
      <c r="AS26" s="99"/>
      <c r="AT26" s="80"/>
      <c r="AU26" s="81"/>
      <c r="AV26" s="101"/>
      <c r="AW26" s="111">
        <f t="shared" si="1"/>
        <v>0</v>
      </c>
      <c r="AX26" s="98"/>
      <c r="AY26" s="99"/>
      <c r="AZ26" s="101"/>
      <c r="BA26" s="113"/>
    </row>
    <row r="27" spans="1:53" s="74" customFormat="1" ht="14.25" x14ac:dyDescent="0.3">
      <c r="A27" s="103" t="s">
        <v>50</v>
      </c>
      <c r="B27" s="108">
        <v>-356</v>
      </c>
      <c r="C27" s="75">
        <v>-87.71</v>
      </c>
      <c r="D27" s="109">
        <v>-35</v>
      </c>
      <c r="E27" s="78">
        <v>-12.07</v>
      </c>
      <c r="F27" s="110"/>
      <c r="G27" s="82"/>
      <c r="H27" s="110">
        <f>-19</f>
        <v>-19</v>
      </c>
      <c r="I27" s="82">
        <v>-6</v>
      </c>
      <c r="J27" s="110">
        <v>-49</v>
      </c>
      <c r="K27" s="82">
        <v>-18.07</v>
      </c>
      <c r="L27" s="110"/>
      <c r="M27" s="82"/>
      <c r="N27" s="110">
        <v>-8</v>
      </c>
      <c r="O27" s="547">
        <v>-4.5</v>
      </c>
      <c r="P27" s="109">
        <v>-52</v>
      </c>
      <c r="Q27" s="78">
        <v>-31.74</v>
      </c>
      <c r="R27" s="76"/>
      <c r="S27" s="78"/>
      <c r="T27" s="76">
        <v>-79</v>
      </c>
      <c r="U27" s="78">
        <v>-44.89</v>
      </c>
      <c r="V27" s="80">
        <v>-1769</v>
      </c>
      <c r="W27" s="82">
        <v>-1589</v>
      </c>
      <c r="X27" s="76">
        <v>-6046</v>
      </c>
      <c r="Y27" s="78">
        <v>-3268.94</v>
      </c>
      <c r="Z27" s="83"/>
      <c r="AA27" s="84"/>
      <c r="AB27" s="76">
        <v>-65</v>
      </c>
      <c r="AC27" s="78">
        <v>-58.71</v>
      </c>
      <c r="AD27" s="76">
        <v>-36</v>
      </c>
      <c r="AE27" s="78"/>
      <c r="AF27" s="76">
        <v>-309</v>
      </c>
      <c r="AG27" s="78">
        <v>-490.71</v>
      </c>
      <c r="AH27" s="76">
        <v>-149</v>
      </c>
      <c r="AI27" s="78">
        <v>-150.9</v>
      </c>
      <c r="AJ27" s="76">
        <v>-11</v>
      </c>
      <c r="AK27" s="78">
        <v>-28.18</v>
      </c>
      <c r="AL27" s="551"/>
      <c r="AM27" s="79"/>
      <c r="AN27" s="176">
        <v>-45</v>
      </c>
      <c r="AO27" s="710">
        <v>-29.08</v>
      </c>
      <c r="AP27" s="173"/>
      <c r="AQ27" s="97"/>
      <c r="AR27" s="98">
        <v>-130</v>
      </c>
      <c r="AS27" s="99">
        <v>-157.96</v>
      </c>
      <c r="AT27" s="80"/>
      <c r="AU27" s="81"/>
      <c r="AV27" s="101">
        <f>SUM(B27+D27+F27+H27+J27+L27+N27+P27+R27+T27+V27+X27+Z27+AB27+AD27+AF27+AH27+AJ27+AL27+AN27+AP27+AR27+AT27)</f>
        <v>-9158</v>
      </c>
      <c r="AW27" s="111">
        <f t="shared" si="1"/>
        <v>-5978.46</v>
      </c>
      <c r="AX27" s="98">
        <v>-2178.88</v>
      </c>
      <c r="AY27" s="99">
        <v>-1553.45</v>
      </c>
      <c r="AZ27" s="101">
        <f>AV27+AX27</f>
        <v>-11336.880000000001</v>
      </c>
      <c r="BA27" s="113">
        <f>AW27+AY27</f>
        <v>-7531.91</v>
      </c>
    </row>
    <row r="28" spans="1:53" s="74" customFormat="1" ht="14.25" x14ac:dyDescent="0.3">
      <c r="A28" s="103" t="s">
        <v>51</v>
      </c>
      <c r="B28" s="108"/>
      <c r="C28" s="75"/>
      <c r="D28" s="109">
        <v>-244</v>
      </c>
      <c r="E28" s="78">
        <v>-85.1</v>
      </c>
      <c r="F28" s="110"/>
      <c r="G28" s="82"/>
      <c r="H28" s="110">
        <v>-12</v>
      </c>
      <c r="I28" s="82">
        <v>-29.85</v>
      </c>
      <c r="J28" s="110"/>
      <c r="K28" s="82"/>
      <c r="L28" s="110"/>
      <c r="M28" s="82"/>
      <c r="N28" s="110"/>
      <c r="O28" s="547"/>
      <c r="P28" s="109"/>
      <c r="Q28" s="78"/>
      <c r="R28" s="76"/>
      <c r="S28" s="78"/>
      <c r="T28" s="76"/>
      <c r="U28" s="78"/>
      <c r="V28" s="80"/>
      <c r="W28" s="82"/>
      <c r="X28" s="76">
        <v>-66</v>
      </c>
      <c r="Y28" s="78"/>
      <c r="Z28" s="83"/>
      <c r="AA28" s="84"/>
      <c r="AB28" s="76"/>
      <c r="AC28" s="78"/>
      <c r="AD28" s="76">
        <v>-23</v>
      </c>
      <c r="AE28" s="78">
        <v>-9.84</v>
      </c>
      <c r="AF28" s="76"/>
      <c r="AG28" s="78"/>
      <c r="AH28" s="76"/>
      <c r="AI28" s="78"/>
      <c r="AJ28" s="76"/>
      <c r="AK28" s="78"/>
      <c r="AL28" s="551"/>
      <c r="AM28" s="79"/>
      <c r="AN28" s="176"/>
      <c r="AO28" s="710"/>
      <c r="AP28" s="173"/>
      <c r="AQ28" s="97"/>
      <c r="AR28" s="98"/>
      <c r="AS28" s="99"/>
      <c r="AT28" s="80"/>
      <c r="AU28" s="81"/>
      <c r="AV28" s="101">
        <f>SUM(B28+D28+F28+H28+J28+L28+N28+P28+R28+T28+V28+X28+Z28+AB28+AD28+AF28+AH28+AJ28+AL28+AN28+AP28+AR28+AT28)</f>
        <v>-345</v>
      </c>
      <c r="AW28" s="111">
        <f t="shared" si="1"/>
        <v>-124.78999999999999</v>
      </c>
      <c r="AX28" s="98"/>
      <c r="AY28" s="99"/>
      <c r="AZ28" s="101">
        <f>AV28+AX28</f>
        <v>-345</v>
      </c>
      <c r="BA28" s="113">
        <f>AW28+AY28</f>
        <v>-124.78999999999999</v>
      </c>
    </row>
    <row r="29" spans="1:53" s="74" customFormat="1" ht="14.25" x14ac:dyDescent="0.3">
      <c r="A29" s="103" t="s">
        <v>52</v>
      </c>
      <c r="B29" s="116"/>
      <c r="C29" s="75"/>
      <c r="D29" s="117"/>
      <c r="E29" s="78"/>
      <c r="F29" s="111"/>
      <c r="G29" s="82"/>
      <c r="H29" s="111"/>
      <c r="I29" s="82"/>
      <c r="J29" s="111"/>
      <c r="K29" s="82"/>
      <c r="L29" s="111"/>
      <c r="M29" s="82"/>
      <c r="N29" s="111"/>
      <c r="O29" s="547"/>
      <c r="P29" s="117"/>
      <c r="Q29" s="78"/>
      <c r="R29" s="87"/>
      <c r="S29" s="78"/>
      <c r="T29" s="87"/>
      <c r="U29" s="78"/>
      <c r="V29" s="101"/>
      <c r="W29" s="82"/>
      <c r="X29" s="87"/>
      <c r="Y29" s="78"/>
      <c r="Z29" s="83"/>
      <c r="AA29" s="84"/>
      <c r="AB29" s="87"/>
      <c r="AC29" s="78"/>
      <c r="AD29" s="118"/>
      <c r="AE29" s="78"/>
      <c r="AF29" s="87"/>
      <c r="AG29" s="78"/>
      <c r="AH29" s="87"/>
      <c r="AI29" s="78"/>
      <c r="AJ29" s="87"/>
      <c r="AK29" s="78"/>
      <c r="AL29" s="551"/>
      <c r="AM29" s="79"/>
      <c r="AN29" s="80"/>
      <c r="AO29" s="82"/>
      <c r="AP29" s="173"/>
      <c r="AQ29" s="97"/>
      <c r="AR29" s="98"/>
      <c r="AS29" s="99"/>
      <c r="AT29" s="101"/>
      <c r="AU29" s="105"/>
      <c r="AV29" s="101"/>
      <c r="AW29" s="111">
        <f t="shared" si="1"/>
        <v>0</v>
      </c>
      <c r="AX29" s="101"/>
      <c r="AY29" s="105"/>
      <c r="AZ29" s="101"/>
      <c r="BA29" s="113"/>
    </row>
    <row r="30" spans="1:53" s="74" customFormat="1" ht="14.25" x14ac:dyDescent="0.3">
      <c r="A30" s="103" t="s">
        <v>31</v>
      </c>
      <c r="B30" s="108"/>
      <c r="C30" s="75"/>
      <c r="D30" s="109"/>
      <c r="E30" s="78"/>
      <c r="F30" s="110"/>
      <c r="G30" s="82"/>
      <c r="H30" s="110"/>
      <c r="I30" s="82"/>
      <c r="J30" s="110"/>
      <c r="K30" s="82"/>
      <c r="L30" s="110"/>
      <c r="M30" s="82"/>
      <c r="N30" s="110"/>
      <c r="O30" s="547"/>
      <c r="P30" s="109"/>
      <c r="Q30" s="78"/>
      <c r="R30" s="76"/>
      <c r="S30" s="78"/>
      <c r="T30" s="76"/>
      <c r="U30" s="78"/>
      <c r="V30" s="80"/>
      <c r="W30" s="82"/>
      <c r="X30" s="76"/>
      <c r="Y30" s="78"/>
      <c r="Z30" s="83"/>
      <c r="AA30" s="84"/>
      <c r="AB30" s="76"/>
      <c r="AC30" s="78"/>
      <c r="AD30" s="76"/>
      <c r="AE30" s="78"/>
      <c r="AF30" s="76"/>
      <c r="AG30" s="78"/>
      <c r="AH30" s="76"/>
      <c r="AI30" s="78"/>
      <c r="AJ30" s="76"/>
      <c r="AK30" s="78"/>
      <c r="AL30" s="551"/>
      <c r="AM30" s="79"/>
      <c r="AN30" s="80"/>
      <c r="AO30" s="82"/>
      <c r="AP30" s="173"/>
      <c r="AQ30" s="97"/>
      <c r="AR30" s="98"/>
      <c r="AS30" s="99"/>
      <c r="AT30" s="80"/>
      <c r="AU30" s="81"/>
      <c r="AV30" s="101">
        <f>SUM(B30+D30+F30+H30+J30+L30+N30+P30+R30+T30+V30+X30+Z30+AB30+AD30+AF30+AH30+AJ30+AL30+AN30+AP30+AR30+AT30)</f>
        <v>0</v>
      </c>
      <c r="AW30" s="111">
        <f t="shared" si="1"/>
        <v>0</v>
      </c>
      <c r="AX30" s="98"/>
      <c r="AY30" s="99"/>
      <c r="AZ30" s="101">
        <f>AV30+AX30</f>
        <v>0</v>
      </c>
      <c r="BA30" s="113">
        <f>AW30+AY30</f>
        <v>0</v>
      </c>
    </row>
    <row r="31" spans="1:53" s="74" customFormat="1" ht="14.25" x14ac:dyDescent="0.3">
      <c r="A31" s="103" t="s">
        <v>32</v>
      </c>
      <c r="B31" s="108"/>
      <c r="C31" s="75"/>
      <c r="D31" s="109"/>
      <c r="E31" s="78"/>
      <c r="F31" s="110"/>
      <c r="G31" s="82"/>
      <c r="H31" s="110"/>
      <c r="I31" s="82"/>
      <c r="J31" s="110"/>
      <c r="K31" s="82"/>
      <c r="L31" s="110"/>
      <c r="M31" s="82"/>
      <c r="N31" s="110"/>
      <c r="O31" s="547"/>
      <c r="P31" s="109"/>
      <c r="Q31" s="78"/>
      <c r="R31" s="76"/>
      <c r="S31" s="78"/>
      <c r="T31" s="76"/>
      <c r="U31" s="78"/>
      <c r="V31" s="80"/>
      <c r="W31" s="82"/>
      <c r="X31" s="76"/>
      <c r="Y31" s="78"/>
      <c r="Z31" s="83"/>
      <c r="AA31" s="84"/>
      <c r="AB31" s="76"/>
      <c r="AC31" s="78"/>
      <c r="AD31" s="76"/>
      <c r="AE31" s="78"/>
      <c r="AF31" s="76"/>
      <c r="AG31" s="78"/>
      <c r="AH31" s="76"/>
      <c r="AI31" s="78"/>
      <c r="AJ31" s="76"/>
      <c r="AK31" s="78"/>
      <c r="AL31" s="551"/>
      <c r="AM31" s="79"/>
      <c r="AN31" s="80"/>
      <c r="AO31" s="82"/>
      <c r="AP31" s="173"/>
      <c r="AQ31" s="97"/>
      <c r="AR31" s="98"/>
      <c r="AS31" s="99"/>
      <c r="AT31" s="80"/>
      <c r="AU31" s="81"/>
      <c r="AV31" s="101"/>
      <c r="AW31" s="111">
        <f t="shared" si="1"/>
        <v>0</v>
      </c>
      <c r="AX31" s="98"/>
      <c r="AY31" s="99"/>
      <c r="AZ31" s="101"/>
      <c r="BA31" s="113"/>
    </row>
    <row r="32" spans="1:53" s="74" customFormat="1" ht="14.25" x14ac:dyDescent="0.3">
      <c r="A32" s="103" t="s">
        <v>49</v>
      </c>
      <c r="B32" s="108"/>
      <c r="C32" s="75"/>
      <c r="D32" s="109"/>
      <c r="E32" s="78"/>
      <c r="F32" s="110"/>
      <c r="G32" s="82"/>
      <c r="H32" s="110"/>
      <c r="I32" s="82"/>
      <c r="J32" s="110"/>
      <c r="K32" s="82"/>
      <c r="L32" s="110"/>
      <c r="M32" s="82"/>
      <c r="N32" s="110"/>
      <c r="O32" s="547"/>
      <c r="P32" s="109"/>
      <c r="Q32" s="78"/>
      <c r="R32" s="76"/>
      <c r="S32" s="78"/>
      <c r="T32" s="76"/>
      <c r="U32" s="78"/>
      <c r="V32" s="80"/>
      <c r="W32" s="82"/>
      <c r="X32" s="76"/>
      <c r="Y32" s="78"/>
      <c r="Z32" s="83"/>
      <c r="AA32" s="84"/>
      <c r="AB32" s="76"/>
      <c r="AC32" s="78"/>
      <c r="AD32" s="76"/>
      <c r="AE32" s="78"/>
      <c r="AF32" s="76"/>
      <c r="AG32" s="78"/>
      <c r="AH32" s="76"/>
      <c r="AI32" s="78"/>
      <c r="AJ32" s="76"/>
      <c r="AK32" s="78"/>
      <c r="AL32" s="551"/>
      <c r="AM32" s="79"/>
      <c r="AN32" s="80"/>
      <c r="AO32" s="82"/>
      <c r="AP32" s="173"/>
      <c r="AQ32" s="97"/>
      <c r="AR32" s="98"/>
      <c r="AS32" s="99"/>
      <c r="AT32" s="80"/>
      <c r="AU32" s="81"/>
      <c r="AV32" s="101"/>
      <c r="AW32" s="111"/>
      <c r="AX32" s="98"/>
      <c r="AY32" s="99"/>
      <c r="AZ32" s="101"/>
      <c r="BA32" s="113"/>
    </row>
    <row r="33" spans="1:58" s="74" customFormat="1" thickBot="1" x14ac:dyDescent="0.35">
      <c r="A33" s="143" t="s">
        <v>53</v>
      </c>
      <c r="B33" s="119"/>
      <c r="C33" s="733"/>
      <c r="D33" s="120"/>
      <c r="E33" s="727"/>
      <c r="F33" s="121"/>
      <c r="G33" s="726"/>
      <c r="H33" s="121"/>
      <c r="I33" s="726"/>
      <c r="J33" s="121"/>
      <c r="K33" s="726"/>
      <c r="L33" s="121"/>
      <c r="M33" s="726"/>
      <c r="N33" s="121"/>
      <c r="O33" s="731"/>
      <c r="P33" s="120"/>
      <c r="Q33" s="727"/>
      <c r="R33" s="123"/>
      <c r="S33" s="727"/>
      <c r="T33" s="123"/>
      <c r="U33" s="727"/>
      <c r="V33" s="124"/>
      <c r="W33" s="726"/>
      <c r="X33" s="123"/>
      <c r="Y33" s="727"/>
      <c r="Z33" s="125"/>
      <c r="AA33" s="730"/>
      <c r="AB33" s="123"/>
      <c r="AC33" s="727"/>
      <c r="AD33" s="123"/>
      <c r="AE33" s="727"/>
      <c r="AF33" s="123"/>
      <c r="AG33" s="727"/>
      <c r="AH33" s="123"/>
      <c r="AI33" s="727"/>
      <c r="AJ33" s="123"/>
      <c r="AK33" s="727"/>
      <c r="AL33" s="651"/>
      <c r="AM33" s="729"/>
      <c r="AN33" s="124"/>
      <c r="AO33" s="726"/>
      <c r="AP33" s="174"/>
      <c r="AQ33" s="126"/>
      <c r="AR33" s="127"/>
      <c r="AS33" s="128"/>
      <c r="AT33" s="124"/>
      <c r="AU33" s="122"/>
      <c r="AV33" s="129"/>
      <c r="AW33" s="130"/>
      <c r="AX33" s="127"/>
      <c r="AY33" s="128"/>
      <c r="AZ33" s="129"/>
      <c r="BA33" s="722"/>
    </row>
    <row r="34" spans="1:58" s="393" customFormat="1" thickBot="1" x14ac:dyDescent="0.35">
      <c r="A34" s="392" t="s">
        <v>54</v>
      </c>
      <c r="B34" s="703">
        <f>SUM(B6:B33)</f>
        <v>498028</v>
      </c>
      <c r="C34" s="725">
        <f t="shared" ref="C34:AH34" si="6">SUM(C6:C33)</f>
        <v>301304.5</v>
      </c>
      <c r="D34" s="705">
        <f t="shared" si="6"/>
        <v>27951</v>
      </c>
      <c r="E34" s="725">
        <f t="shared" si="6"/>
        <v>18189.190000000006</v>
      </c>
      <c r="F34" s="705">
        <f t="shared" si="6"/>
        <v>81304</v>
      </c>
      <c r="G34" s="725">
        <f t="shared" si="6"/>
        <v>61700</v>
      </c>
      <c r="H34" s="705">
        <f t="shared" si="6"/>
        <v>620792</v>
      </c>
      <c r="I34" s="725">
        <f t="shared" si="6"/>
        <v>381486.73000000004</v>
      </c>
      <c r="J34" s="705">
        <f t="shared" si="6"/>
        <v>58094</v>
      </c>
      <c r="K34" s="725">
        <f t="shared" si="6"/>
        <v>35634.840000000004</v>
      </c>
      <c r="L34" s="705">
        <f t="shared" si="6"/>
        <v>193413</v>
      </c>
      <c r="M34" s="725">
        <f t="shared" si="6"/>
        <v>120036.81</v>
      </c>
      <c r="N34" s="705">
        <f t="shared" si="6"/>
        <v>38054</v>
      </c>
      <c r="O34" s="725">
        <f t="shared" si="6"/>
        <v>24393.83</v>
      </c>
      <c r="P34" s="705">
        <f t="shared" si="6"/>
        <v>20638</v>
      </c>
      <c r="Q34" s="725">
        <f t="shared" si="6"/>
        <v>9774.5499999999993</v>
      </c>
      <c r="R34" s="705">
        <f t="shared" si="6"/>
        <v>142827</v>
      </c>
      <c r="S34" s="725">
        <f t="shared" si="6"/>
        <v>108668.5</v>
      </c>
      <c r="T34" s="705">
        <f t="shared" si="6"/>
        <v>36874</v>
      </c>
      <c r="U34" s="725">
        <f t="shared" si="6"/>
        <v>35757.35</v>
      </c>
      <c r="V34" s="705">
        <f t="shared" si="6"/>
        <v>2177646</v>
      </c>
      <c r="W34" s="725">
        <f t="shared" si="6"/>
        <v>1365253.7</v>
      </c>
      <c r="X34" s="705">
        <f t="shared" si="6"/>
        <v>2121519</v>
      </c>
      <c r="Y34" s="725">
        <f t="shared" si="6"/>
        <v>1424569.19</v>
      </c>
      <c r="Z34" s="705">
        <f t="shared" si="6"/>
        <v>75495</v>
      </c>
      <c r="AA34" s="725">
        <f>SUM(AA6:AA33)</f>
        <v>60672.659999999996</v>
      </c>
      <c r="AB34" s="705">
        <f t="shared" si="6"/>
        <v>341878</v>
      </c>
      <c r="AC34" s="725">
        <f t="shared" si="6"/>
        <v>273080.29000000004</v>
      </c>
      <c r="AD34" s="705">
        <f t="shared" si="6"/>
        <v>408901</v>
      </c>
      <c r="AE34" s="725">
        <f t="shared" si="6"/>
        <v>261679.31000000003</v>
      </c>
      <c r="AF34" s="705">
        <f t="shared" si="6"/>
        <v>695343</v>
      </c>
      <c r="AG34" s="725">
        <f t="shared" si="6"/>
        <v>465037.93000000005</v>
      </c>
      <c r="AH34" s="705">
        <f t="shared" si="6"/>
        <v>221316</v>
      </c>
      <c r="AI34" s="725">
        <f t="shared" ref="AI34:AS34" si="7">SUM(AI6:AI33)</f>
        <v>176892.36</v>
      </c>
      <c r="AJ34" s="705">
        <f t="shared" si="7"/>
        <v>231704</v>
      </c>
      <c r="AK34" s="728">
        <f t="shared" si="7"/>
        <v>173989.58</v>
      </c>
      <c r="AL34" s="703">
        <f t="shared" si="7"/>
        <v>0</v>
      </c>
      <c r="AM34" s="725">
        <f t="shared" si="7"/>
        <v>0</v>
      </c>
      <c r="AN34" s="705">
        <f t="shared" si="7"/>
        <v>2389933</v>
      </c>
      <c r="AO34" s="725">
        <f t="shared" si="7"/>
        <v>1387432.07</v>
      </c>
      <c r="AP34" s="705">
        <f t="shared" si="7"/>
        <v>63270</v>
      </c>
      <c r="AQ34" s="725">
        <f t="shared" si="7"/>
        <v>34679.769999999997</v>
      </c>
      <c r="AR34" s="705">
        <f t="shared" si="7"/>
        <v>105395</v>
      </c>
      <c r="AS34" s="725">
        <f t="shared" si="7"/>
        <v>76824.799999999988</v>
      </c>
      <c r="AT34" s="705">
        <f>SUM(AT6:AT33)</f>
        <v>296726</v>
      </c>
      <c r="AU34" s="725">
        <f>SUM(AU6:AU33)</f>
        <v>177805.32</v>
      </c>
      <c r="AV34" s="386">
        <f>SUM(B34+D34+F34+H34+J34+L34+N34+P34+R34+T34+V34+X34+Z34+AB34+AD34+AF34+AH34+AJ34+AL34+AN34+AP34+AR34+AT34)</f>
        <v>10847101</v>
      </c>
      <c r="AW34" s="386">
        <f>SUM(C34+E34+G34+I34+K34+M34+O34+Q34+S34+U34+W34+Y34+AA34+AC34+AE34+AG34+AI34+AK34+AM34+AO34+AQ34+AS34+AU34)</f>
        <v>6974863.2800000003</v>
      </c>
      <c r="AX34" s="385">
        <f>SUM(AX6:AX33)</f>
        <v>23303604.390000004</v>
      </c>
      <c r="AY34" s="707">
        <f>SUM(AY6:AY33)</f>
        <v>18254697.170000002</v>
      </c>
      <c r="AZ34" s="385">
        <f>AV34+AX34</f>
        <v>34150705.390000001</v>
      </c>
      <c r="BA34" s="706">
        <f>AW34+AY34</f>
        <v>25229560.450000003</v>
      </c>
    </row>
    <row r="35" spans="1:58" s="74" customFormat="1" thickBot="1" x14ac:dyDescent="0.35">
      <c r="A35" s="735" t="s">
        <v>55</v>
      </c>
      <c r="B35" s="734"/>
      <c r="C35" s="732"/>
      <c r="D35" s="652"/>
      <c r="E35" s="732"/>
      <c r="F35" s="400"/>
      <c r="G35" s="399"/>
      <c r="H35" s="135"/>
      <c r="I35" s="134"/>
      <c r="J35" s="400"/>
      <c r="K35" s="399"/>
      <c r="L35" s="135"/>
      <c r="M35" s="134"/>
      <c r="N35" s="135"/>
      <c r="O35" s="134"/>
      <c r="P35" s="132"/>
      <c r="Q35" s="133"/>
      <c r="R35" s="131"/>
      <c r="S35" s="133"/>
      <c r="T35" s="131"/>
      <c r="U35" s="133"/>
      <c r="V35" s="136"/>
      <c r="W35" s="134"/>
      <c r="X35" s="131"/>
      <c r="Y35" s="133"/>
      <c r="Z35" s="131"/>
      <c r="AA35" s="133"/>
      <c r="AB35" s="131"/>
      <c r="AC35" s="133"/>
      <c r="AD35" s="131"/>
      <c r="AE35" s="133"/>
      <c r="AF35" s="131"/>
      <c r="AG35" s="133"/>
      <c r="AH35" s="131"/>
      <c r="AI35" s="133"/>
      <c r="AJ35" s="131"/>
      <c r="AK35" s="133"/>
      <c r="AL35" s="652"/>
      <c r="AM35" s="177"/>
      <c r="AN35" s="135"/>
      <c r="AO35" s="135"/>
      <c r="AP35" s="135"/>
      <c r="AQ35" s="135"/>
      <c r="AR35" s="136"/>
      <c r="AS35" s="135"/>
      <c r="AT35" s="136"/>
      <c r="AU35" s="135"/>
      <c r="AV35" s="137"/>
      <c r="AW35" s="138"/>
      <c r="AX35" s="704"/>
      <c r="AY35" s="399"/>
      <c r="AZ35" s="137"/>
      <c r="BA35" s="723"/>
    </row>
    <row r="36" spans="1:58" s="74" customFormat="1" thickBot="1" x14ac:dyDescent="0.35">
      <c r="A36" s="735" t="s">
        <v>56</v>
      </c>
      <c r="B36" s="403">
        <f>B34</f>
        <v>498028</v>
      </c>
      <c r="C36" s="407">
        <f t="shared" ref="C36:AH36" si="8">C34</f>
        <v>301304.5</v>
      </c>
      <c r="D36" s="405">
        <f t="shared" si="8"/>
        <v>27951</v>
      </c>
      <c r="E36" s="407">
        <f t="shared" si="8"/>
        <v>18189.190000000006</v>
      </c>
      <c r="F36" s="401">
        <f t="shared" si="8"/>
        <v>81304</v>
      </c>
      <c r="G36" s="397">
        <f t="shared" si="8"/>
        <v>61700</v>
      </c>
      <c r="H36" s="135">
        <f t="shared" si="8"/>
        <v>620792</v>
      </c>
      <c r="I36" s="134">
        <f t="shared" si="8"/>
        <v>381486.73000000004</v>
      </c>
      <c r="J36" s="401">
        <f t="shared" si="8"/>
        <v>58094</v>
      </c>
      <c r="K36" s="397">
        <f t="shared" si="8"/>
        <v>35634.840000000004</v>
      </c>
      <c r="L36" s="135">
        <f t="shared" si="8"/>
        <v>193413</v>
      </c>
      <c r="M36" s="134">
        <f t="shared" si="8"/>
        <v>120036.81</v>
      </c>
      <c r="N36" s="135">
        <f t="shared" si="8"/>
        <v>38054</v>
      </c>
      <c r="O36" s="134">
        <f t="shared" si="8"/>
        <v>24393.83</v>
      </c>
      <c r="P36" s="135">
        <f t="shared" si="8"/>
        <v>20638</v>
      </c>
      <c r="Q36" s="134">
        <f t="shared" si="8"/>
        <v>9774.5499999999993</v>
      </c>
      <c r="R36" s="136">
        <f t="shared" si="8"/>
        <v>142827</v>
      </c>
      <c r="S36" s="134">
        <f t="shared" si="8"/>
        <v>108668.5</v>
      </c>
      <c r="T36" s="136">
        <f t="shared" si="8"/>
        <v>36874</v>
      </c>
      <c r="U36" s="134">
        <f t="shared" si="8"/>
        <v>35757.35</v>
      </c>
      <c r="V36" s="136">
        <f t="shared" si="8"/>
        <v>2177646</v>
      </c>
      <c r="W36" s="650">
        <f t="shared" si="8"/>
        <v>1365253.7</v>
      </c>
      <c r="X36" s="136">
        <v>70890881</v>
      </c>
      <c r="Y36" s="650">
        <v>150023180</v>
      </c>
      <c r="Z36" s="136">
        <f t="shared" si="8"/>
        <v>75495</v>
      </c>
      <c r="AA36" s="134">
        <f t="shared" si="8"/>
        <v>60672.659999999996</v>
      </c>
      <c r="AB36" s="136">
        <f t="shared" si="8"/>
        <v>341878</v>
      </c>
      <c r="AC36" s="134">
        <f t="shared" si="8"/>
        <v>273080.29000000004</v>
      </c>
      <c r="AD36" s="136">
        <f t="shared" si="8"/>
        <v>408901</v>
      </c>
      <c r="AE36" s="134">
        <f t="shared" si="8"/>
        <v>261679.31000000003</v>
      </c>
      <c r="AF36" s="136">
        <f t="shared" si="8"/>
        <v>695343</v>
      </c>
      <c r="AG36" s="134">
        <f t="shared" si="8"/>
        <v>465037.93000000005</v>
      </c>
      <c r="AH36" s="136">
        <f t="shared" si="8"/>
        <v>221316</v>
      </c>
      <c r="AI36" s="134">
        <f t="shared" ref="AI36:AN36" si="9">AI34</f>
        <v>176892.36</v>
      </c>
      <c r="AJ36" s="136">
        <f t="shared" si="9"/>
        <v>231704</v>
      </c>
      <c r="AK36" s="93">
        <f t="shared" si="9"/>
        <v>173989.58</v>
      </c>
      <c r="AL36" s="653">
        <f t="shared" si="9"/>
        <v>0</v>
      </c>
      <c r="AM36" s="581">
        <f t="shared" si="9"/>
        <v>0</v>
      </c>
      <c r="AN36" s="135">
        <f t="shared" si="9"/>
        <v>2389933</v>
      </c>
      <c r="AO36" s="135">
        <f t="shared" ref="AO36:AU36" si="10">AO34</f>
        <v>1387432.07</v>
      </c>
      <c r="AP36" s="135">
        <f t="shared" si="10"/>
        <v>63270</v>
      </c>
      <c r="AQ36" s="135">
        <f t="shared" si="10"/>
        <v>34679.769999999997</v>
      </c>
      <c r="AR36" s="136">
        <f t="shared" si="10"/>
        <v>105395</v>
      </c>
      <c r="AS36" s="135">
        <f t="shared" si="10"/>
        <v>76824.799999999988</v>
      </c>
      <c r="AT36" s="136">
        <f t="shared" si="10"/>
        <v>296726</v>
      </c>
      <c r="AU36" s="135">
        <f t="shared" si="10"/>
        <v>177805.32</v>
      </c>
      <c r="AV36" s="137">
        <f>SUM(B36+D36+F36+H36+J36+L36+N36+P36+R36+T36+V36+X36+Z36+AB36+AD36+AF36+AH36+AJ36+AL36+AN36+AP36+AR36+AT36)</f>
        <v>79616463</v>
      </c>
      <c r="AW36" s="138">
        <f>SUM(C36+E36+G36+I36+K36+M36+O36+Q36+S36+U36+W36+Y36+AA36+AC36+AE36+AG36+AI36+AK36+AM36+AO36+AQ36+AS36+AU36)</f>
        <v>155573474.09000003</v>
      </c>
      <c r="AX36" s="398">
        <f>AX34</f>
        <v>23303604.390000004</v>
      </c>
      <c r="AY36" s="708">
        <f>AY34</f>
        <v>18254697.170000002</v>
      </c>
      <c r="AZ36" s="137">
        <f>AV36+AX36</f>
        <v>102920067.39</v>
      </c>
      <c r="BA36" s="723">
        <f>AW36+AY36</f>
        <v>173828171.26000005</v>
      </c>
    </row>
    <row r="37" spans="1:58" s="74" customFormat="1" thickBot="1" x14ac:dyDescent="0.35">
      <c r="A37" s="736" t="s">
        <v>57</v>
      </c>
      <c r="B37" s="402"/>
      <c r="C37" s="406"/>
      <c r="D37" s="404"/>
      <c r="E37" s="406"/>
      <c r="F37" s="400"/>
      <c r="G37" s="399"/>
      <c r="H37" s="92"/>
      <c r="I37" s="93"/>
      <c r="J37" s="400"/>
      <c r="K37" s="399"/>
      <c r="L37" s="92"/>
      <c r="M37" s="93"/>
      <c r="N37" s="92"/>
      <c r="O37" s="93"/>
      <c r="P37" s="115"/>
      <c r="Q37" s="139"/>
      <c r="R37" s="114"/>
      <c r="S37" s="139"/>
      <c r="T37" s="114"/>
      <c r="U37" s="139"/>
      <c r="V37" s="94"/>
      <c r="W37" s="93"/>
      <c r="X37" s="114"/>
      <c r="Y37" s="139"/>
      <c r="Z37" s="114"/>
      <c r="AA37" s="139"/>
      <c r="AB37" s="114"/>
      <c r="AC37" s="139"/>
      <c r="AD37" s="114"/>
      <c r="AE37" s="139"/>
      <c r="AF37" s="114"/>
      <c r="AG37" s="139"/>
      <c r="AH37" s="114"/>
      <c r="AI37" s="139"/>
      <c r="AJ37" s="114"/>
      <c r="AK37" s="208"/>
      <c r="AL37" s="257"/>
      <c r="AM37" s="258"/>
      <c r="AN37" s="92"/>
      <c r="AO37" s="92"/>
      <c r="AP37" s="92"/>
      <c r="AQ37" s="92"/>
      <c r="AR37" s="94"/>
      <c r="AS37" s="92"/>
      <c r="AT37" s="94"/>
      <c r="AU37" s="92"/>
      <c r="AV37" s="259"/>
      <c r="AW37" s="260"/>
      <c r="AX37" s="398"/>
      <c r="AY37" s="708"/>
      <c r="AZ37" s="259"/>
      <c r="BA37" s="724"/>
    </row>
    <row r="38" spans="1:58" s="364" customFormat="1" thickBot="1" x14ac:dyDescent="0.35">
      <c r="A38" s="392" t="s">
        <v>54</v>
      </c>
      <c r="B38" s="873">
        <f>B36</f>
        <v>498028</v>
      </c>
      <c r="C38" s="874">
        <f t="shared" ref="C38:AH38" si="11">C36</f>
        <v>301304.5</v>
      </c>
      <c r="D38" s="875">
        <f t="shared" si="11"/>
        <v>27951</v>
      </c>
      <c r="E38" s="874">
        <f t="shared" si="11"/>
        <v>18189.190000000006</v>
      </c>
      <c r="F38" s="386">
        <f t="shared" si="11"/>
        <v>81304</v>
      </c>
      <c r="G38" s="707">
        <f t="shared" si="11"/>
        <v>61700</v>
      </c>
      <c r="H38" s="876">
        <f t="shared" si="11"/>
        <v>620792</v>
      </c>
      <c r="I38" s="706">
        <f t="shared" si="11"/>
        <v>381486.73000000004</v>
      </c>
      <c r="J38" s="386">
        <f t="shared" si="11"/>
        <v>58094</v>
      </c>
      <c r="K38" s="707">
        <f t="shared" si="11"/>
        <v>35634.840000000004</v>
      </c>
      <c r="L38" s="876">
        <f t="shared" si="11"/>
        <v>193413</v>
      </c>
      <c r="M38" s="706">
        <f t="shared" si="11"/>
        <v>120036.81</v>
      </c>
      <c r="N38" s="876">
        <f t="shared" si="11"/>
        <v>38054</v>
      </c>
      <c r="O38" s="706">
        <f t="shared" si="11"/>
        <v>24393.83</v>
      </c>
      <c r="P38" s="877">
        <f t="shared" si="11"/>
        <v>20638</v>
      </c>
      <c r="Q38" s="878">
        <f t="shared" si="11"/>
        <v>9774.5499999999993</v>
      </c>
      <c r="R38" s="879">
        <f t="shared" si="11"/>
        <v>142827</v>
      </c>
      <c r="S38" s="878">
        <f t="shared" si="11"/>
        <v>108668.5</v>
      </c>
      <c r="T38" s="879">
        <f t="shared" si="11"/>
        <v>36874</v>
      </c>
      <c r="U38" s="878">
        <f t="shared" si="11"/>
        <v>35757.35</v>
      </c>
      <c r="V38" s="880">
        <f t="shared" si="11"/>
        <v>2177646</v>
      </c>
      <c r="W38" s="706">
        <f t="shared" si="11"/>
        <v>1365253.7</v>
      </c>
      <c r="X38" s="879">
        <f t="shared" si="11"/>
        <v>70890881</v>
      </c>
      <c r="Y38" s="878">
        <f t="shared" si="11"/>
        <v>150023180</v>
      </c>
      <c r="Z38" s="879">
        <f t="shared" si="11"/>
        <v>75495</v>
      </c>
      <c r="AA38" s="878">
        <f t="shared" si="11"/>
        <v>60672.659999999996</v>
      </c>
      <c r="AB38" s="879">
        <f t="shared" si="11"/>
        <v>341878</v>
      </c>
      <c r="AC38" s="878">
        <f t="shared" si="11"/>
        <v>273080.29000000004</v>
      </c>
      <c r="AD38" s="879">
        <f t="shared" si="11"/>
        <v>408901</v>
      </c>
      <c r="AE38" s="878">
        <f t="shared" si="11"/>
        <v>261679.31000000003</v>
      </c>
      <c r="AF38" s="879">
        <f t="shared" si="11"/>
        <v>695343</v>
      </c>
      <c r="AG38" s="878">
        <f t="shared" si="11"/>
        <v>465037.93000000005</v>
      </c>
      <c r="AH38" s="879">
        <f t="shared" si="11"/>
        <v>221316</v>
      </c>
      <c r="AI38" s="878">
        <f t="shared" ref="AI38:AU38" si="12">AI36</f>
        <v>176892.36</v>
      </c>
      <c r="AJ38" s="879">
        <f t="shared" si="12"/>
        <v>231704</v>
      </c>
      <c r="AK38" s="881">
        <f t="shared" si="12"/>
        <v>173989.58</v>
      </c>
      <c r="AL38" s="882">
        <f t="shared" si="12"/>
        <v>0</v>
      </c>
      <c r="AM38" s="883">
        <f t="shared" si="12"/>
        <v>0</v>
      </c>
      <c r="AN38" s="876">
        <f t="shared" si="12"/>
        <v>2389933</v>
      </c>
      <c r="AO38" s="876">
        <f t="shared" si="12"/>
        <v>1387432.07</v>
      </c>
      <c r="AP38" s="876">
        <f t="shared" si="12"/>
        <v>63270</v>
      </c>
      <c r="AQ38" s="876">
        <f t="shared" si="12"/>
        <v>34679.769999999997</v>
      </c>
      <c r="AR38" s="880">
        <f t="shared" si="12"/>
        <v>105395</v>
      </c>
      <c r="AS38" s="876">
        <f t="shared" si="12"/>
        <v>76824.799999999988</v>
      </c>
      <c r="AT38" s="880">
        <f t="shared" si="12"/>
        <v>296726</v>
      </c>
      <c r="AU38" s="876">
        <f t="shared" si="12"/>
        <v>177805.32</v>
      </c>
      <c r="AV38" s="385">
        <f>SUM(B38+D38+F38+H38+J38+L38+N38+P38+R38+T38+V38+X38+Z38+AB38+AD38+AF38+AH38+AJ38+AL38+AN38+AP38+AR38+AT38)</f>
        <v>79616463</v>
      </c>
      <c r="AW38" s="386">
        <f>SUM(C38+E38+G38+I38+K38+M38+O38+Q38+S38+U38+W38+Y38+AA38+AC38+AE38+AG38+AI38+AK38+AM38+AO38+AQ38+AS38+AU38)</f>
        <v>155573474.09000003</v>
      </c>
      <c r="AX38" s="385">
        <f>AX36</f>
        <v>23303604.390000004</v>
      </c>
      <c r="AY38" s="707">
        <f>AY36</f>
        <v>18254697.170000002</v>
      </c>
      <c r="AZ38" s="385">
        <f>AV38+AX38</f>
        <v>102920067.39</v>
      </c>
      <c r="BA38" s="706">
        <f>AW38+AY38</f>
        <v>173828171.26000005</v>
      </c>
      <c r="BE38" s="379"/>
      <c r="BF38" s="379"/>
    </row>
    <row r="39" spans="1:58" s="74" customFormat="1" ht="14.25" x14ac:dyDescent="0.3">
      <c r="A39" s="60"/>
      <c r="V39" s="140"/>
      <c r="W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</row>
  </sheetData>
  <mergeCells count="29">
    <mergeCell ref="J3:K3"/>
    <mergeCell ref="L3:M3"/>
    <mergeCell ref="N3:O3"/>
    <mergeCell ref="AB3:AC3"/>
    <mergeCell ref="AD3:AE3"/>
    <mergeCell ref="AF3:AG3"/>
    <mergeCell ref="V3:W3"/>
    <mergeCell ref="X3:Y3"/>
    <mergeCell ref="Z3:AA3"/>
    <mergeCell ref="A1:AZ1"/>
    <mergeCell ref="A2:AZ2"/>
    <mergeCell ref="A3:A4"/>
    <mergeCell ref="B3:C3"/>
    <mergeCell ref="D3:E3"/>
    <mergeCell ref="F3:G3"/>
    <mergeCell ref="H3:I3"/>
    <mergeCell ref="P3:Q3"/>
    <mergeCell ref="R3:S3"/>
    <mergeCell ref="T3:U3"/>
    <mergeCell ref="AH3:AI3"/>
    <mergeCell ref="AJ3:AK3"/>
    <mergeCell ref="AL3:AM3"/>
    <mergeCell ref="AZ3:BA3"/>
    <mergeCell ref="AN3:AO3"/>
    <mergeCell ref="AP3:AQ3"/>
    <mergeCell ref="AR3:AS3"/>
    <mergeCell ref="AT3:AU3"/>
    <mergeCell ref="AV3:AW3"/>
    <mergeCell ref="AX3:AY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1:BA14"/>
  <sheetViews>
    <sheetView workbookViewId="0">
      <pane xSplit="1" topLeftCell="B1" activePane="topRight" state="frozen"/>
      <selection pane="topRight" activeCell="X17" sqref="X17"/>
    </sheetView>
  </sheetViews>
  <sheetFormatPr defaultRowHeight="16.5" x14ac:dyDescent="0.3"/>
  <cols>
    <col min="1" max="1" width="26.85546875" style="70" customWidth="1"/>
    <col min="2" max="5" width="10.42578125" style="70" bestFit="1" customWidth="1"/>
    <col min="6" max="6" width="10.42578125" style="70" customWidth="1"/>
    <col min="7" max="8" width="10.42578125" style="70" bestFit="1" customWidth="1"/>
    <col min="9" max="9" width="12.85546875" style="70" bestFit="1" customWidth="1"/>
    <col min="10" max="10" width="10.42578125" style="70" bestFit="1" customWidth="1"/>
    <col min="11" max="11" width="11.5703125" style="70" bestFit="1" customWidth="1"/>
    <col min="12" max="14" width="10.42578125" style="70" bestFit="1" customWidth="1"/>
    <col min="15" max="15" width="11.5703125" style="70" bestFit="1" customWidth="1"/>
    <col min="16" max="16" width="10.42578125" style="70" bestFit="1" customWidth="1"/>
    <col min="17" max="17" width="12.85546875" style="70" bestFit="1" customWidth="1"/>
    <col min="18" max="19" width="10.42578125" style="70" bestFit="1" customWidth="1"/>
    <col min="20" max="20" width="10.42578125" style="70" customWidth="1"/>
    <col min="21" max="22" width="10.42578125" style="70" bestFit="1" customWidth="1"/>
    <col min="23" max="23" width="12.85546875" style="70" bestFit="1" customWidth="1"/>
    <col min="24" max="24" width="10.42578125" style="70" bestFit="1" customWidth="1"/>
    <col min="25" max="25" width="12.85546875" style="70" bestFit="1" customWidth="1"/>
    <col min="26" max="26" width="10.42578125" style="70" bestFit="1" customWidth="1"/>
    <col min="27" max="27" width="11.5703125" style="70" bestFit="1" customWidth="1"/>
    <col min="28" max="30" width="10.42578125" style="70" bestFit="1" customWidth="1"/>
    <col min="31" max="31" width="11.5703125" style="70" bestFit="1" customWidth="1"/>
    <col min="32" max="32" width="10.42578125" style="70" bestFit="1" customWidth="1"/>
    <col min="33" max="33" width="11.5703125" style="70" bestFit="1" customWidth="1"/>
    <col min="34" max="34" width="10.42578125" style="70" customWidth="1"/>
    <col min="35" max="36" width="10.42578125" style="70" bestFit="1" customWidth="1"/>
    <col min="37" max="37" width="11.5703125" style="70" bestFit="1" customWidth="1"/>
    <col min="38" max="40" width="10.42578125" style="70" bestFit="1" customWidth="1"/>
    <col min="41" max="41" width="12.85546875" style="70" bestFit="1" customWidth="1"/>
    <col min="42" max="42" width="11.5703125" style="70" customWidth="1"/>
    <col min="43" max="43" width="11.5703125" style="70" bestFit="1" customWidth="1"/>
    <col min="44" max="44" width="10.42578125" style="70" bestFit="1" customWidth="1"/>
    <col min="45" max="45" width="11.5703125" style="70" bestFit="1" customWidth="1"/>
    <col min="46" max="47" width="10.42578125" style="70" bestFit="1" customWidth="1"/>
    <col min="48" max="49" width="14.28515625" style="70" bestFit="1" customWidth="1"/>
    <col min="50" max="50" width="10.42578125" style="70" bestFit="1" customWidth="1"/>
    <col min="51" max="51" width="11.5703125" style="70" bestFit="1" customWidth="1"/>
    <col min="52" max="52" width="14.28515625" style="70" bestFit="1" customWidth="1"/>
    <col min="53" max="53" width="14.28515625" style="41" bestFit="1" customWidth="1"/>
    <col min="54" max="16384" width="9.140625" style="70"/>
  </cols>
  <sheetData>
    <row r="1" spans="1:53" s="312" customFormat="1" ht="17.25" thickBot="1" x14ac:dyDescent="0.4">
      <c r="A1" s="1154" t="s">
        <v>337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  <c r="L1" s="1154"/>
      <c r="M1" s="1154"/>
      <c r="N1" s="1154"/>
      <c r="O1" s="1154"/>
      <c r="P1" s="1154"/>
      <c r="Q1" s="1154"/>
      <c r="R1" s="1154"/>
      <c r="S1" s="1154"/>
      <c r="T1" s="1154"/>
      <c r="U1" s="1154"/>
      <c r="V1" s="1154"/>
      <c r="W1" s="1154"/>
      <c r="X1" s="1154"/>
      <c r="Y1" s="1154"/>
      <c r="Z1" s="1154"/>
      <c r="AA1" s="1154"/>
      <c r="AB1" s="1154"/>
      <c r="AC1" s="1154"/>
      <c r="AD1" s="1154"/>
      <c r="AE1" s="1154"/>
      <c r="AF1" s="1154"/>
      <c r="AG1" s="1154"/>
      <c r="AH1" s="1154"/>
      <c r="AI1" s="1154"/>
      <c r="AJ1" s="1154"/>
      <c r="AK1" s="1154"/>
      <c r="AL1" s="1154"/>
      <c r="AM1" s="1154"/>
      <c r="AN1" s="1154"/>
      <c r="AO1" s="1154"/>
      <c r="AP1" s="1154"/>
      <c r="AQ1" s="1154"/>
      <c r="AR1" s="1154"/>
      <c r="AS1" s="1154"/>
      <c r="AT1" s="1154"/>
      <c r="AU1" s="1154"/>
      <c r="AV1" s="1154"/>
      <c r="AW1" s="1154"/>
      <c r="AX1" s="1154"/>
      <c r="AY1" s="1154"/>
      <c r="AZ1" s="1154"/>
      <c r="BA1" s="1154"/>
    </row>
    <row r="2" spans="1:53" ht="69" customHeight="1" thickBot="1" x14ac:dyDescent="0.35">
      <c r="A2" s="1152" t="s">
        <v>0</v>
      </c>
      <c r="B2" s="1058" t="s">
        <v>114</v>
      </c>
      <c r="C2" s="1155"/>
      <c r="D2" s="1060" t="s">
        <v>115</v>
      </c>
      <c r="E2" s="1061"/>
      <c r="F2" s="1060" t="s">
        <v>116</v>
      </c>
      <c r="G2" s="1061"/>
      <c r="H2" s="1060" t="s">
        <v>117</v>
      </c>
      <c r="I2" s="1061"/>
      <c r="J2" s="1060" t="s">
        <v>118</v>
      </c>
      <c r="K2" s="1061"/>
      <c r="L2" s="1060" t="s">
        <v>119</v>
      </c>
      <c r="M2" s="1061"/>
      <c r="N2" s="1060" t="s">
        <v>220</v>
      </c>
      <c r="O2" s="1061"/>
      <c r="P2" s="1060" t="s">
        <v>120</v>
      </c>
      <c r="Q2" s="1061"/>
      <c r="R2" s="1060" t="s">
        <v>121</v>
      </c>
      <c r="S2" s="1061"/>
      <c r="T2" s="1156" t="s">
        <v>122</v>
      </c>
      <c r="U2" s="1061"/>
      <c r="V2" s="1156" t="s">
        <v>123</v>
      </c>
      <c r="W2" s="1061"/>
      <c r="X2" s="1060" t="s">
        <v>124</v>
      </c>
      <c r="Y2" s="1061"/>
      <c r="Z2" s="1060" t="s">
        <v>227</v>
      </c>
      <c r="AA2" s="1061"/>
      <c r="AB2" s="1060" t="s">
        <v>125</v>
      </c>
      <c r="AC2" s="1061"/>
      <c r="AD2" s="1060" t="s">
        <v>126</v>
      </c>
      <c r="AE2" s="1061"/>
      <c r="AF2" s="1060" t="s">
        <v>127</v>
      </c>
      <c r="AG2" s="1061"/>
      <c r="AH2" s="1060" t="s">
        <v>128</v>
      </c>
      <c r="AI2" s="1061"/>
      <c r="AJ2" s="1060" t="s">
        <v>129</v>
      </c>
      <c r="AK2" s="1061"/>
      <c r="AL2" s="1060" t="s">
        <v>130</v>
      </c>
      <c r="AM2" s="1061"/>
      <c r="AN2" s="1060" t="s">
        <v>131</v>
      </c>
      <c r="AO2" s="1061"/>
      <c r="AP2" s="1060" t="s">
        <v>132</v>
      </c>
      <c r="AQ2" s="1061"/>
      <c r="AR2" s="1060" t="s">
        <v>133</v>
      </c>
      <c r="AS2" s="1061"/>
      <c r="AT2" s="1060" t="s">
        <v>134</v>
      </c>
      <c r="AU2" s="1061"/>
      <c r="AV2" s="1060" t="s">
        <v>1</v>
      </c>
      <c r="AW2" s="1061"/>
      <c r="AX2" s="1060" t="s">
        <v>135</v>
      </c>
      <c r="AY2" s="1061"/>
      <c r="AZ2" s="1157" t="s">
        <v>2</v>
      </c>
      <c r="BA2" s="1158"/>
    </row>
    <row r="3" spans="1:53" s="347" customFormat="1" ht="36.75" customHeight="1" thickBot="1" x14ac:dyDescent="0.35">
      <c r="A3" s="1153"/>
      <c r="B3" s="409" t="s">
        <v>336</v>
      </c>
      <c r="C3" s="857" t="s">
        <v>224</v>
      </c>
      <c r="D3" s="409" t="s">
        <v>336</v>
      </c>
      <c r="E3" s="872" t="s">
        <v>224</v>
      </c>
      <c r="F3" s="409" t="s">
        <v>336</v>
      </c>
      <c r="G3" s="409" t="s">
        <v>224</v>
      </c>
      <c r="H3" s="409" t="s">
        <v>336</v>
      </c>
      <c r="I3" s="409" t="s">
        <v>224</v>
      </c>
      <c r="J3" s="857" t="s">
        <v>336</v>
      </c>
      <c r="K3" s="409" t="s">
        <v>224</v>
      </c>
      <c r="L3" s="857" t="s">
        <v>336</v>
      </c>
      <c r="M3" s="409" t="s">
        <v>224</v>
      </c>
      <c r="N3" s="857" t="s">
        <v>336</v>
      </c>
      <c r="O3" s="409" t="s">
        <v>224</v>
      </c>
      <c r="P3" s="857" t="s">
        <v>336</v>
      </c>
      <c r="Q3" s="409" t="s">
        <v>224</v>
      </c>
      <c r="R3" s="857" t="s">
        <v>336</v>
      </c>
      <c r="S3" s="409" t="s">
        <v>224</v>
      </c>
      <c r="T3" s="858" t="s">
        <v>336</v>
      </c>
      <c r="U3" s="409" t="s">
        <v>224</v>
      </c>
      <c r="V3" s="858" t="s">
        <v>336</v>
      </c>
      <c r="W3" s="409" t="s">
        <v>224</v>
      </c>
      <c r="X3" s="857" t="s">
        <v>336</v>
      </c>
      <c r="Y3" s="409" t="s">
        <v>224</v>
      </c>
      <c r="Z3" s="857" t="s">
        <v>336</v>
      </c>
      <c r="AA3" s="409" t="s">
        <v>224</v>
      </c>
      <c r="AB3" s="857" t="s">
        <v>336</v>
      </c>
      <c r="AC3" s="409" t="s">
        <v>224</v>
      </c>
      <c r="AD3" s="857" t="s">
        <v>336</v>
      </c>
      <c r="AE3" s="409" t="s">
        <v>224</v>
      </c>
      <c r="AF3" s="857" t="s">
        <v>336</v>
      </c>
      <c r="AG3" s="409" t="s">
        <v>224</v>
      </c>
      <c r="AH3" s="857" t="s">
        <v>336</v>
      </c>
      <c r="AI3" s="409" t="s">
        <v>224</v>
      </c>
      <c r="AJ3" s="857" t="s">
        <v>336</v>
      </c>
      <c r="AK3" s="409" t="s">
        <v>224</v>
      </c>
      <c r="AL3" s="857" t="s">
        <v>336</v>
      </c>
      <c r="AM3" s="409" t="s">
        <v>224</v>
      </c>
      <c r="AN3" s="857" t="s">
        <v>336</v>
      </c>
      <c r="AO3" s="409" t="s">
        <v>224</v>
      </c>
      <c r="AP3" s="857" t="s">
        <v>336</v>
      </c>
      <c r="AQ3" s="409" t="s">
        <v>224</v>
      </c>
      <c r="AR3" s="857" t="s">
        <v>336</v>
      </c>
      <c r="AS3" s="409" t="s">
        <v>224</v>
      </c>
      <c r="AT3" s="857" t="s">
        <v>336</v>
      </c>
      <c r="AU3" s="409" t="s">
        <v>224</v>
      </c>
      <c r="AV3" s="857" t="s">
        <v>336</v>
      </c>
      <c r="AW3" s="409" t="s">
        <v>224</v>
      </c>
      <c r="AX3" s="857" t="s">
        <v>336</v>
      </c>
      <c r="AY3" s="409" t="s">
        <v>224</v>
      </c>
      <c r="AZ3" s="857" t="s">
        <v>336</v>
      </c>
      <c r="BA3" s="409" t="s">
        <v>224</v>
      </c>
    </row>
    <row r="4" spans="1:53" ht="17.25" thickBot="1" x14ac:dyDescent="0.35">
      <c r="A4" s="517" t="s">
        <v>185</v>
      </c>
      <c r="B4" s="852"/>
      <c r="C4" s="855"/>
      <c r="D4" s="859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2"/>
      <c r="P4" s="512"/>
      <c r="Q4" s="512"/>
      <c r="R4" s="512"/>
      <c r="S4" s="511"/>
      <c r="T4" s="853"/>
      <c r="U4" s="859"/>
      <c r="V4" s="853"/>
      <c r="W4" s="512"/>
      <c r="X4" s="512"/>
      <c r="Y4" s="512"/>
      <c r="Z4" s="512"/>
      <c r="AA4" s="512"/>
      <c r="AB4" s="512"/>
      <c r="AC4" s="512"/>
      <c r="AD4" s="512"/>
      <c r="AE4" s="512"/>
      <c r="AF4" s="512"/>
      <c r="AG4" s="512"/>
      <c r="AH4" s="512"/>
      <c r="AI4" s="512"/>
      <c r="AJ4" s="512"/>
      <c r="AK4" s="512"/>
      <c r="AL4" s="512"/>
      <c r="AM4" s="512"/>
      <c r="AN4" s="512"/>
      <c r="AO4" s="512"/>
      <c r="AP4" s="512"/>
      <c r="AQ4" s="512"/>
      <c r="AR4" s="512"/>
      <c r="AS4" s="512"/>
      <c r="AT4" s="512"/>
      <c r="AU4" s="512"/>
      <c r="AV4" s="512">
        <f t="shared" ref="AV4:AW14" si="0">SUM(B4+D4+F4+H4+J4+L4+N4+P4+R4+T4+V4+X4+Z4+AB4+AD4+AF4+AH4+AJ4+AL4+AN4+AP4+AR4+AT4)</f>
        <v>0</v>
      </c>
      <c r="AW4" s="511">
        <f t="shared" si="0"/>
        <v>0</v>
      </c>
      <c r="AX4" s="512"/>
      <c r="AY4" s="512"/>
      <c r="AZ4" s="511">
        <f t="shared" ref="AZ4:BA14" si="1">AV4+AX4</f>
        <v>0</v>
      </c>
      <c r="BA4" s="511">
        <f t="shared" si="1"/>
        <v>0</v>
      </c>
    </row>
    <row r="5" spans="1:53" ht="17.25" thickBot="1" x14ac:dyDescent="0.35">
      <c r="A5" s="394" t="s">
        <v>186</v>
      </c>
      <c r="B5" s="394">
        <v>6829</v>
      </c>
      <c r="C5" s="856">
        <v>6829</v>
      </c>
      <c r="D5" s="510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10"/>
      <c r="T5" s="854"/>
      <c r="U5" s="510"/>
      <c r="V5" s="854"/>
      <c r="W5" s="509"/>
      <c r="X5" s="509"/>
      <c r="Y5" s="509"/>
      <c r="Z5" s="509"/>
      <c r="AA5" s="509"/>
      <c r="AB5" s="509"/>
      <c r="AC5" s="509"/>
      <c r="AD5" s="509"/>
      <c r="AE5" s="509"/>
      <c r="AF5" s="509">
        <v>2588</v>
      </c>
      <c r="AG5" s="509">
        <v>2587.84</v>
      </c>
      <c r="AH5" s="509"/>
      <c r="AI5" s="509"/>
      <c r="AJ5" s="509"/>
      <c r="AK5" s="509"/>
      <c r="AL5" s="509"/>
      <c r="AM5" s="509"/>
      <c r="AN5" s="509"/>
      <c r="AO5" s="509"/>
      <c r="AP5" s="509"/>
      <c r="AQ5" s="509"/>
      <c r="AR5" s="509"/>
      <c r="AS5" s="509"/>
      <c r="AT5" s="509"/>
      <c r="AU5" s="509"/>
      <c r="AV5" s="516">
        <f t="shared" si="0"/>
        <v>9417</v>
      </c>
      <c r="AW5" s="511">
        <f t="shared" si="0"/>
        <v>9416.84</v>
      </c>
      <c r="AX5" s="516"/>
      <c r="AY5" s="509"/>
      <c r="AZ5" s="510">
        <f t="shared" si="1"/>
        <v>9417</v>
      </c>
      <c r="BA5" s="510">
        <f t="shared" si="1"/>
        <v>9416.84</v>
      </c>
    </row>
    <row r="6" spans="1:53" x14ac:dyDescent="0.3">
      <c r="A6" s="394" t="s">
        <v>187</v>
      </c>
      <c r="B6" s="394">
        <v>20000</v>
      </c>
      <c r="C6" s="856">
        <v>20000</v>
      </c>
      <c r="D6" s="510">
        <v>106061</v>
      </c>
      <c r="E6" s="513">
        <v>87637.05</v>
      </c>
      <c r="F6" s="513"/>
      <c r="G6" s="509"/>
      <c r="H6" s="509">
        <v>105996</v>
      </c>
      <c r="I6" s="509">
        <v>105995.5</v>
      </c>
      <c r="J6" s="509">
        <v>20744</v>
      </c>
      <c r="K6" s="509">
        <v>20724.419999999998</v>
      </c>
      <c r="L6" s="509">
        <v>12500</v>
      </c>
      <c r="M6" s="509">
        <v>12500</v>
      </c>
      <c r="N6" s="509">
        <v>83292</v>
      </c>
      <c r="O6" s="509">
        <v>83292.17</v>
      </c>
      <c r="P6" s="509">
        <v>171192</v>
      </c>
      <c r="Q6" s="509">
        <v>168484.78</v>
      </c>
      <c r="R6" s="509"/>
      <c r="S6" s="510"/>
      <c r="T6" s="854">
        <v>10000</v>
      </c>
      <c r="U6" s="510"/>
      <c r="V6" s="854">
        <v>64511</v>
      </c>
      <c r="W6" s="509">
        <v>45577.69</v>
      </c>
      <c r="X6" s="509">
        <v>343299</v>
      </c>
      <c r="Y6" s="509">
        <v>343035.71</v>
      </c>
      <c r="Z6" s="509"/>
      <c r="AA6" s="509"/>
      <c r="AB6" s="509">
        <v>27000</v>
      </c>
      <c r="AC6" s="509">
        <v>27000</v>
      </c>
      <c r="AD6" s="509">
        <v>5204</v>
      </c>
      <c r="AE6" s="509">
        <v>5203.63</v>
      </c>
      <c r="AF6" s="509">
        <v>6617</v>
      </c>
      <c r="AG6" s="509">
        <v>6809.13</v>
      </c>
      <c r="AH6" s="509"/>
      <c r="AI6" s="509"/>
      <c r="AJ6" s="509">
        <v>30316</v>
      </c>
      <c r="AK6" s="509">
        <v>30315.919999999998</v>
      </c>
      <c r="AL6" s="509"/>
      <c r="AM6" s="509"/>
      <c r="AN6" s="509">
        <v>1728</v>
      </c>
      <c r="AO6" s="509">
        <v>326.45999999999998</v>
      </c>
      <c r="AP6" s="509">
        <v>368.89</v>
      </c>
      <c r="AQ6" s="509">
        <v>159.34</v>
      </c>
      <c r="AR6" s="509">
        <v>26861</v>
      </c>
      <c r="AS6" s="509">
        <v>26860.560000000001</v>
      </c>
      <c r="AT6" s="509"/>
      <c r="AU6" s="509"/>
      <c r="AV6" s="516">
        <f t="shared" si="0"/>
        <v>1035689.89</v>
      </c>
      <c r="AW6" s="511">
        <f t="shared" si="0"/>
        <v>983922.35999999987</v>
      </c>
      <c r="AX6" s="516"/>
      <c r="AY6" s="509"/>
      <c r="AZ6" s="510">
        <f t="shared" si="1"/>
        <v>1035689.89</v>
      </c>
      <c r="BA6" s="510">
        <f t="shared" si="1"/>
        <v>983922.35999999987</v>
      </c>
    </row>
    <row r="7" spans="1:53" x14ac:dyDescent="0.3">
      <c r="A7" s="394" t="s">
        <v>188</v>
      </c>
      <c r="B7" s="394"/>
      <c r="C7" s="856"/>
      <c r="D7" s="510"/>
      <c r="E7" s="513"/>
      <c r="F7" s="513"/>
      <c r="G7" s="509"/>
      <c r="H7" s="509">
        <v>5148</v>
      </c>
      <c r="I7" s="509">
        <v>4765.29</v>
      </c>
      <c r="J7" s="509">
        <v>459</v>
      </c>
      <c r="K7" s="509">
        <v>464.41</v>
      </c>
      <c r="L7" s="509"/>
      <c r="M7" s="509"/>
      <c r="N7" s="509"/>
      <c r="O7" s="509"/>
      <c r="P7" s="509"/>
      <c r="Q7" s="509"/>
      <c r="R7" s="509"/>
      <c r="S7" s="510"/>
      <c r="T7" s="854"/>
      <c r="U7" s="510"/>
      <c r="V7" s="854"/>
      <c r="W7" s="509"/>
      <c r="X7" s="509">
        <v>2335</v>
      </c>
      <c r="Y7" s="509">
        <v>2585.13</v>
      </c>
      <c r="Z7" s="509"/>
      <c r="AA7" s="509"/>
      <c r="AB7" s="509"/>
      <c r="AC7" s="509"/>
      <c r="AD7" s="509"/>
      <c r="AE7" s="509"/>
      <c r="AF7" s="509"/>
      <c r="AG7" s="509"/>
      <c r="AH7" s="509">
        <v>434</v>
      </c>
      <c r="AI7" s="509">
        <v>442</v>
      </c>
      <c r="AJ7" s="509"/>
      <c r="AK7" s="509"/>
      <c r="AL7" s="509"/>
      <c r="AM7" s="509"/>
      <c r="AN7" s="509"/>
      <c r="AO7" s="509"/>
      <c r="AP7" s="509"/>
      <c r="AQ7" s="509"/>
      <c r="AR7" s="509"/>
      <c r="AS7" s="509"/>
      <c r="AT7" s="509">
        <v>2596</v>
      </c>
      <c r="AU7" s="509">
        <v>2596.37</v>
      </c>
      <c r="AV7" s="509">
        <f t="shared" si="0"/>
        <v>10972</v>
      </c>
      <c r="AW7" s="510">
        <f t="shared" si="0"/>
        <v>10853.2</v>
      </c>
      <c r="AX7" s="509"/>
      <c r="AY7" s="509"/>
      <c r="AZ7" s="510">
        <f t="shared" si="1"/>
        <v>10972</v>
      </c>
      <c r="BA7" s="510">
        <f t="shared" si="1"/>
        <v>10853.2</v>
      </c>
    </row>
    <row r="8" spans="1:53" x14ac:dyDescent="0.3">
      <c r="A8" s="394" t="s">
        <v>189</v>
      </c>
      <c r="B8" s="394">
        <v>4061</v>
      </c>
      <c r="C8" s="856">
        <v>4061</v>
      </c>
      <c r="D8" s="510"/>
      <c r="E8" s="513"/>
      <c r="F8" s="513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10"/>
      <c r="T8" s="854"/>
      <c r="U8" s="510"/>
      <c r="V8" s="854"/>
      <c r="W8" s="509"/>
      <c r="X8" s="509"/>
      <c r="Y8" s="509"/>
      <c r="Z8" s="509"/>
      <c r="AA8" s="509"/>
      <c r="AB8" s="509"/>
      <c r="AC8" s="509"/>
      <c r="AD8" s="509"/>
      <c r="AE8" s="509"/>
      <c r="AF8" s="509"/>
      <c r="AG8" s="509"/>
      <c r="AH8" s="509"/>
      <c r="AI8" s="509"/>
      <c r="AJ8" s="509"/>
      <c r="AK8" s="509"/>
      <c r="AL8" s="509"/>
      <c r="AM8" s="509"/>
      <c r="AN8" s="509"/>
      <c r="AO8" s="509"/>
      <c r="AP8" s="509"/>
      <c r="AQ8" s="509"/>
      <c r="AR8" s="509"/>
      <c r="AS8" s="509"/>
      <c r="AT8" s="509"/>
      <c r="AU8" s="509"/>
      <c r="AV8" s="509">
        <f t="shared" si="0"/>
        <v>4061</v>
      </c>
      <c r="AW8" s="510">
        <f t="shared" si="0"/>
        <v>4061</v>
      </c>
      <c r="AX8" s="509">
        <v>2942.14</v>
      </c>
      <c r="AY8" s="509">
        <v>62982.879999999997</v>
      </c>
      <c r="AZ8" s="510">
        <f t="shared" si="1"/>
        <v>7003.1399999999994</v>
      </c>
      <c r="BA8" s="510">
        <f t="shared" si="1"/>
        <v>67043.88</v>
      </c>
    </row>
    <row r="9" spans="1:53" x14ac:dyDescent="0.3">
      <c r="A9" s="394" t="s">
        <v>190</v>
      </c>
      <c r="B9" s="394"/>
      <c r="C9" s="856"/>
      <c r="D9" s="510"/>
      <c r="E9" s="513"/>
      <c r="F9" s="513"/>
      <c r="G9" s="509"/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10"/>
      <c r="T9" s="854"/>
      <c r="U9" s="510"/>
      <c r="V9" s="854"/>
      <c r="W9" s="509"/>
      <c r="X9" s="509"/>
      <c r="Y9" s="509"/>
      <c r="Z9" s="509"/>
      <c r="AA9" s="509"/>
      <c r="AB9" s="509"/>
      <c r="AC9" s="509"/>
      <c r="AD9" s="509"/>
      <c r="AE9" s="509"/>
      <c r="AF9" s="509"/>
      <c r="AG9" s="509"/>
      <c r="AH9" s="509"/>
      <c r="AI9" s="509"/>
      <c r="AJ9" s="509"/>
      <c r="AK9" s="509"/>
      <c r="AL9" s="509"/>
      <c r="AM9" s="509"/>
      <c r="AN9" s="509"/>
      <c r="AO9" s="509"/>
      <c r="AP9" s="509"/>
      <c r="AQ9" s="509"/>
      <c r="AR9" s="509"/>
      <c r="AS9" s="509"/>
      <c r="AT9" s="509"/>
      <c r="AU9" s="509"/>
      <c r="AV9" s="509">
        <f t="shared" si="0"/>
        <v>0</v>
      </c>
      <c r="AW9" s="510">
        <f t="shared" si="0"/>
        <v>0</v>
      </c>
      <c r="AX9" s="509"/>
      <c r="AY9" s="509"/>
      <c r="AZ9" s="510">
        <f t="shared" si="1"/>
        <v>0</v>
      </c>
      <c r="BA9" s="510">
        <f t="shared" si="1"/>
        <v>0</v>
      </c>
    </row>
    <row r="10" spans="1:53" x14ac:dyDescent="0.3">
      <c r="A10" s="394" t="s">
        <v>191</v>
      </c>
      <c r="B10" s="394"/>
      <c r="C10" s="856"/>
      <c r="D10" s="510"/>
      <c r="E10" s="513"/>
      <c r="F10" s="513"/>
      <c r="G10" s="509"/>
      <c r="H10" s="509"/>
      <c r="I10" s="509"/>
      <c r="J10" s="509"/>
      <c r="K10" s="509"/>
      <c r="L10" s="509"/>
      <c r="M10" s="509"/>
      <c r="N10" s="509"/>
      <c r="O10" s="509"/>
      <c r="P10" s="509"/>
      <c r="Q10" s="509"/>
      <c r="R10" s="509"/>
      <c r="S10" s="510"/>
      <c r="T10" s="854"/>
      <c r="U10" s="510"/>
      <c r="V10" s="854"/>
      <c r="W10" s="509"/>
      <c r="X10" s="509"/>
      <c r="Y10" s="509"/>
      <c r="Z10" s="509"/>
      <c r="AA10" s="509"/>
      <c r="AB10" s="509"/>
      <c r="AC10" s="509"/>
      <c r="AD10" s="509"/>
      <c r="AE10" s="509"/>
      <c r="AF10" s="509"/>
      <c r="AG10" s="509"/>
      <c r="AH10" s="509"/>
      <c r="AI10" s="509"/>
      <c r="AJ10" s="509"/>
      <c r="AK10" s="509"/>
      <c r="AL10" s="509"/>
      <c r="AM10" s="509"/>
      <c r="AN10" s="509"/>
      <c r="AO10" s="509"/>
      <c r="AP10" s="509"/>
      <c r="AQ10" s="509"/>
      <c r="AR10" s="509"/>
      <c r="AS10" s="509"/>
      <c r="AT10" s="509"/>
      <c r="AU10" s="509"/>
      <c r="AV10" s="509">
        <f t="shared" si="0"/>
        <v>0</v>
      </c>
      <c r="AW10" s="510">
        <f t="shared" si="0"/>
        <v>0</v>
      </c>
      <c r="AX10" s="509"/>
      <c r="AY10" s="509"/>
      <c r="AZ10" s="510">
        <f t="shared" si="1"/>
        <v>0</v>
      </c>
      <c r="BA10" s="510">
        <f t="shared" si="1"/>
        <v>0</v>
      </c>
    </row>
    <row r="11" spans="1:53" x14ac:dyDescent="0.3">
      <c r="A11" s="394" t="s">
        <v>192</v>
      </c>
      <c r="B11" s="394"/>
      <c r="C11" s="856"/>
      <c r="D11" s="510"/>
      <c r="E11" s="513"/>
      <c r="F11" s="513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10"/>
      <c r="T11" s="854"/>
      <c r="U11" s="510"/>
      <c r="V11" s="854"/>
      <c r="W11" s="509"/>
      <c r="X11" s="509"/>
      <c r="Y11" s="509"/>
      <c r="Z11" s="509"/>
      <c r="AA11" s="509"/>
      <c r="AB11" s="509"/>
      <c r="AC11" s="509"/>
      <c r="AD11" s="509"/>
      <c r="AE11" s="509"/>
      <c r="AF11" s="509"/>
      <c r="AG11" s="509"/>
      <c r="AH11" s="509"/>
      <c r="AI11" s="509"/>
      <c r="AJ11" s="509"/>
      <c r="AK11" s="509"/>
      <c r="AL11" s="509"/>
      <c r="AM11" s="509"/>
      <c r="AN11" s="509"/>
      <c r="AO11" s="509"/>
      <c r="AP11" s="509"/>
      <c r="AQ11" s="509"/>
      <c r="AR11" s="509"/>
      <c r="AS11" s="509"/>
      <c r="AT11" s="509"/>
      <c r="AU11" s="509"/>
      <c r="AV11" s="509">
        <f t="shared" si="0"/>
        <v>0</v>
      </c>
      <c r="AW11" s="510">
        <f t="shared" si="0"/>
        <v>0</v>
      </c>
      <c r="AX11" s="509"/>
      <c r="AY11" s="509"/>
      <c r="AZ11" s="510">
        <f t="shared" si="1"/>
        <v>0</v>
      </c>
      <c r="BA11" s="510">
        <f t="shared" si="1"/>
        <v>0</v>
      </c>
    </row>
    <row r="12" spans="1:53" x14ac:dyDescent="0.3">
      <c r="A12" s="394" t="s">
        <v>193</v>
      </c>
      <c r="B12" s="394">
        <v>11109</v>
      </c>
      <c r="C12" s="856"/>
      <c r="D12" s="510"/>
      <c r="E12" s="513"/>
      <c r="F12" s="513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0"/>
      <c r="T12" s="854"/>
      <c r="U12" s="510"/>
      <c r="V12" s="854"/>
      <c r="W12" s="509"/>
      <c r="X12" s="509"/>
      <c r="Y12" s="509"/>
      <c r="Z12" s="509"/>
      <c r="AA12" s="509"/>
      <c r="AB12" s="509">
        <v>1000</v>
      </c>
      <c r="AC12" s="509">
        <v>1000</v>
      </c>
      <c r="AD12" s="509"/>
      <c r="AE12" s="509"/>
      <c r="AF12" s="509">
        <f>14581+992</f>
        <v>15573</v>
      </c>
      <c r="AG12" s="509">
        <v>11545.75</v>
      </c>
      <c r="AH12" s="509"/>
      <c r="AI12" s="509"/>
      <c r="AJ12" s="509"/>
      <c r="AK12" s="509"/>
      <c r="AL12" s="509"/>
      <c r="AM12" s="509"/>
      <c r="AN12" s="509">
        <v>96</v>
      </c>
      <c r="AO12" s="509">
        <v>33.24</v>
      </c>
      <c r="AP12" s="509"/>
      <c r="AQ12" s="509"/>
      <c r="AR12" s="509">
        <v>1250</v>
      </c>
      <c r="AS12" s="509"/>
      <c r="AT12" s="509"/>
      <c r="AU12" s="509"/>
      <c r="AV12" s="509">
        <f t="shared" si="0"/>
        <v>29028</v>
      </c>
      <c r="AW12" s="510">
        <f t="shared" si="0"/>
        <v>12578.99</v>
      </c>
      <c r="AX12" s="509">
        <v>-69.39</v>
      </c>
      <c r="AY12" s="509">
        <v>-77.03</v>
      </c>
      <c r="AZ12" s="510">
        <f t="shared" si="1"/>
        <v>28958.61</v>
      </c>
      <c r="BA12" s="510">
        <f t="shared" si="1"/>
        <v>12501.96</v>
      </c>
    </row>
    <row r="13" spans="1:53" ht="17.25" thickBot="1" x14ac:dyDescent="0.35">
      <c r="A13" s="860" t="s">
        <v>194</v>
      </c>
      <c r="B13" s="860">
        <v>13354</v>
      </c>
      <c r="C13" s="861">
        <v>6138.11</v>
      </c>
      <c r="D13" s="864"/>
      <c r="E13" s="862"/>
      <c r="F13" s="862"/>
      <c r="G13" s="863"/>
      <c r="H13" s="863">
        <v>921523</v>
      </c>
      <c r="I13" s="863">
        <v>900809.22</v>
      </c>
      <c r="J13" s="863"/>
      <c r="K13" s="863"/>
      <c r="L13" s="863">
        <v>6085</v>
      </c>
      <c r="M13" s="863"/>
      <c r="N13" s="863"/>
      <c r="O13" s="863"/>
      <c r="P13" s="863"/>
      <c r="Q13" s="863"/>
      <c r="R13" s="863"/>
      <c r="S13" s="864"/>
      <c r="T13" s="865"/>
      <c r="U13" s="864"/>
      <c r="V13" s="865">
        <v>637109</v>
      </c>
      <c r="W13" s="863">
        <v>561147.22</v>
      </c>
      <c r="X13" s="863">
        <v>360062</v>
      </c>
      <c r="Y13" s="863">
        <v>353810.9</v>
      </c>
      <c r="Z13" s="863">
        <v>16479</v>
      </c>
      <c r="AA13" s="863">
        <v>14363.36</v>
      </c>
      <c r="AB13" s="863"/>
      <c r="AC13" s="863"/>
      <c r="AD13" s="863">
        <v>345755</v>
      </c>
      <c r="AE13" s="863">
        <v>293497.40000000002</v>
      </c>
      <c r="AF13" s="863">
        <v>89592</v>
      </c>
      <c r="AG13" s="863">
        <v>93563.55</v>
      </c>
      <c r="AH13" s="863"/>
      <c r="AI13" s="863"/>
      <c r="AJ13" s="863"/>
      <c r="AK13" s="863"/>
      <c r="AL13" s="863"/>
      <c r="AM13" s="863"/>
      <c r="AN13" s="863">
        <v>992200</v>
      </c>
      <c r="AO13" s="863">
        <v>880579.97</v>
      </c>
      <c r="AP13" s="863">
        <v>45382.64</v>
      </c>
      <c r="AQ13" s="863">
        <v>48895.11</v>
      </c>
      <c r="AR13" s="863">
        <v>4237</v>
      </c>
      <c r="AS13" s="863">
        <v>10779</v>
      </c>
      <c r="AT13" s="863"/>
      <c r="AU13" s="863">
        <v>4890.74</v>
      </c>
      <c r="AV13" s="863">
        <f t="shared" si="0"/>
        <v>3431778.64</v>
      </c>
      <c r="AW13" s="864">
        <f t="shared" si="0"/>
        <v>3168474.5799999996</v>
      </c>
      <c r="AX13" s="863">
        <v>164278.1</v>
      </c>
      <c r="AY13" s="863"/>
      <c r="AZ13" s="864">
        <f t="shared" si="1"/>
        <v>3596056.74</v>
      </c>
      <c r="BA13" s="864">
        <f t="shared" si="1"/>
        <v>3168474.5799999996</v>
      </c>
    </row>
    <row r="14" spans="1:53" s="871" customFormat="1" ht="17.25" thickBot="1" x14ac:dyDescent="0.4">
      <c r="A14" s="866" t="s">
        <v>54</v>
      </c>
      <c r="B14" s="866">
        <f>SUM(B5:B13)</f>
        <v>55353</v>
      </c>
      <c r="C14" s="866">
        <f t="shared" ref="C14:AU14" si="2">SUM(C4:C13)</f>
        <v>37028.11</v>
      </c>
      <c r="D14" s="870">
        <f>SUM(D4:D13)</f>
        <v>106061</v>
      </c>
      <c r="E14" s="867">
        <f t="shared" si="2"/>
        <v>87637.05</v>
      </c>
      <c r="F14" s="867">
        <f>SUM(F4:F13)</f>
        <v>0</v>
      </c>
      <c r="G14" s="868">
        <f t="shared" si="2"/>
        <v>0</v>
      </c>
      <c r="H14" s="868">
        <f>SUM(H4:H13)</f>
        <v>1032667</v>
      </c>
      <c r="I14" s="868">
        <f t="shared" si="2"/>
        <v>1011570.01</v>
      </c>
      <c r="J14" s="868">
        <f>SUM(J4:J13)</f>
        <v>21203</v>
      </c>
      <c r="K14" s="868">
        <f t="shared" si="2"/>
        <v>21188.829999999998</v>
      </c>
      <c r="L14" s="868">
        <f>SUM(L4:L13)</f>
        <v>18585</v>
      </c>
      <c r="M14" s="868">
        <f t="shared" si="2"/>
        <v>12500</v>
      </c>
      <c r="N14" s="868">
        <f>SUM(N4:N13)</f>
        <v>83292</v>
      </c>
      <c r="O14" s="868">
        <f t="shared" si="2"/>
        <v>83292.17</v>
      </c>
      <c r="P14" s="868">
        <f>SUM(P4:P13)</f>
        <v>171192</v>
      </c>
      <c r="Q14" s="868">
        <f t="shared" si="2"/>
        <v>168484.78</v>
      </c>
      <c r="R14" s="868">
        <f>SUM(R4:R13)</f>
        <v>0</v>
      </c>
      <c r="S14" s="868">
        <f t="shared" si="2"/>
        <v>0</v>
      </c>
      <c r="T14" s="869">
        <f>SUM(T4:T13)</f>
        <v>10000</v>
      </c>
      <c r="U14" s="870">
        <f t="shared" si="2"/>
        <v>0</v>
      </c>
      <c r="V14" s="869">
        <f>SUM(V4:V13)</f>
        <v>701620</v>
      </c>
      <c r="W14" s="867">
        <f t="shared" si="2"/>
        <v>606724.90999999992</v>
      </c>
      <c r="X14" s="867">
        <f>SUM(X4:X13)</f>
        <v>705696</v>
      </c>
      <c r="Y14" s="867">
        <f t="shared" si="2"/>
        <v>699431.74</v>
      </c>
      <c r="Z14" s="867">
        <f>SUM(Z4:Z13)</f>
        <v>16479</v>
      </c>
      <c r="AA14" s="867">
        <f t="shared" si="2"/>
        <v>14363.36</v>
      </c>
      <c r="AB14" s="867">
        <f>SUM(AB4:AB13)</f>
        <v>28000</v>
      </c>
      <c r="AC14" s="867">
        <f t="shared" si="2"/>
        <v>28000</v>
      </c>
      <c r="AD14" s="867">
        <f>SUM(AD4:AD13)</f>
        <v>350959</v>
      </c>
      <c r="AE14" s="867">
        <f t="shared" si="2"/>
        <v>298701.03000000003</v>
      </c>
      <c r="AF14" s="867">
        <f>SUM(AF4:AF13)</f>
        <v>114370</v>
      </c>
      <c r="AG14" s="867">
        <f t="shared" si="2"/>
        <v>114506.27</v>
      </c>
      <c r="AH14" s="867">
        <f>SUM(AH4:AH13)</f>
        <v>434</v>
      </c>
      <c r="AI14" s="867">
        <f t="shared" si="2"/>
        <v>442</v>
      </c>
      <c r="AJ14" s="867">
        <f>SUM(AJ4:AJ13)</f>
        <v>30316</v>
      </c>
      <c r="AK14" s="867">
        <f t="shared" si="2"/>
        <v>30315.919999999998</v>
      </c>
      <c r="AL14" s="867">
        <f>SUM(AL4:AL13)</f>
        <v>0</v>
      </c>
      <c r="AM14" s="867">
        <f t="shared" si="2"/>
        <v>0</v>
      </c>
      <c r="AN14" s="867">
        <f>SUM(AN4:AN13)</f>
        <v>994024</v>
      </c>
      <c r="AO14" s="867">
        <f>SUM(AO4:AO13)</f>
        <v>880939.66999999993</v>
      </c>
      <c r="AP14" s="867">
        <f>SUM(AP4:AP13)</f>
        <v>45751.53</v>
      </c>
      <c r="AQ14" s="867">
        <f t="shared" si="2"/>
        <v>49054.45</v>
      </c>
      <c r="AR14" s="867">
        <f>SUM(AR4:AR13)</f>
        <v>32348</v>
      </c>
      <c r="AS14" s="867">
        <f t="shared" si="2"/>
        <v>37639.56</v>
      </c>
      <c r="AT14" s="867">
        <f>SUM(AT4:AT13)</f>
        <v>2596</v>
      </c>
      <c r="AU14" s="868">
        <f t="shared" si="2"/>
        <v>7487.11</v>
      </c>
      <c r="AV14" s="867">
        <f t="shared" si="0"/>
        <v>4520946.53</v>
      </c>
      <c r="AW14" s="870">
        <f t="shared" si="0"/>
        <v>4189306.9699999993</v>
      </c>
      <c r="AX14" s="867">
        <f>SUM(AX4:AX13)</f>
        <v>167150.85</v>
      </c>
      <c r="AY14" s="867">
        <v>62905.85</v>
      </c>
      <c r="AZ14" s="870">
        <f t="shared" si="1"/>
        <v>4688097.38</v>
      </c>
      <c r="BA14" s="870">
        <f t="shared" si="1"/>
        <v>4252212.8199999994</v>
      </c>
    </row>
  </sheetData>
  <mergeCells count="28">
    <mergeCell ref="AZ2:BA2"/>
    <mergeCell ref="AX2:AY2"/>
    <mergeCell ref="AJ2:AK2"/>
    <mergeCell ref="AL2:AM2"/>
    <mergeCell ref="AN2:AO2"/>
    <mergeCell ref="AP2:AQ2"/>
    <mergeCell ref="AR2:AS2"/>
    <mergeCell ref="X2:Y2"/>
    <mergeCell ref="AT2:AU2"/>
    <mergeCell ref="AF2:AG2"/>
    <mergeCell ref="AH2:AI2"/>
    <mergeCell ref="AV2:AW2"/>
    <mergeCell ref="A2:A3"/>
    <mergeCell ref="A1:B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B2:AC2"/>
    <mergeCell ref="AD2:AE2"/>
    <mergeCell ref="Z2:AA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AA8"/>
  <sheetViews>
    <sheetView workbookViewId="0">
      <pane xSplit="1" topLeftCell="B1" activePane="topRight" state="frozen"/>
      <selection pane="topRight" activeCell="M14" sqref="M14"/>
    </sheetView>
  </sheetViews>
  <sheetFormatPr defaultRowHeight="16.5" x14ac:dyDescent="0.3"/>
  <cols>
    <col min="1" max="1" width="19.5703125" style="70" customWidth="1"/>
    <col min="2" max="3" width="10.85546875" style="70" customWidth="1"/>
    <col min="4" max="4" width="10.5703125" style="70" customWidth="1"/>
    <col min="5" max="5" width="10.42578125" style="70" customWidth="1"/>
    <col min="6" max="6" width="11.28515625" style="70" customWidth="1"/>
    <col min="7" max="7" width="10.85546875" style="70" customWidth="1"/>
    <col min="8" max="9" width="10.5703125" style="70" customWidth="1"/>
    <col min="10" max="11" width="10.28515625" style="70" customWidth="1"/>
    <col min="12" max="12" width="10.5703125" style="70" customWidth="1"/>
    <col min="13" max="13" width="11.5703125" style="70" bestFit="1" customWidth="1"/>
    <col min="14" max="14" width="10.42578125" style="70" customWidth="1"/>
    <col min="15" max="15" width="11.42578125" style="70" customWidth="1"/>
    <col min="16" max="17" width="10.42578125" style="70" customWidth="1"/>
    <col min="18" max="18" width="11.28515625" style="70" customWidth="1"/>
    <col min="19" max="20" width="10.28515625" style="70" customWidth="1"/>
    <col min="21" max="23" width="10.5703125" style="70" customWidth="1"/>
    <col min="24" max="24" width="10.7109375" style="70" customWidth="1"/>
    <col min="25" max="25" width="11.5703125" style="70" bestFit="1" customWidth="1"/>
    <col min="26" max="26" width="10.42578125" style="70" customWidth="1"/>
    <col min="27" max="27" width="11.5703125" style="70" bestFit="1" customWidth="1"/>
    <col min="28" max="16384" width="9.140625" style="70"/>
  </cols>
  <sheetData>
    <row r="1" spans="1:27" s="312" customFormat="1" ht="17.25" thickBot="1" x14ac:dyDescent="0.4">
      <c r="A1" s="884" t="s">
        <v>374</v>
      </c>
    </row>
    <row r="2" spans="1:27" ht="129" thickBot="1" x14ac:dyDescent="0.35">
      <c r="A2" s="1159" t="s">
        <v>0</v>
      </c>
      <c r="B2" s="408" t="s">
        <v>114</v>
      </c>
      <c r="C2" s="445" t="s">
        <v>115</v>
      </c>
      <c r="D2" s="445" t="s">
        <v>116</v>
      </c>
      <c r="E2" s="445" t="s">
        <v>117</v>
      </c>
      <c r="F2" s="445" t="s">
        <v>118</v>
      </c>
      <c r="G2" s="445" t="s">
        <v>119</v>
      </c>
      <c r="H2" s="445" t="s">
        <v>220</v>
      </c>
      <c r="I2" s="445" t="s">
        <v>120</v>
      </c>
      <c r="J2" s="445" t="s">
        <v>121</v>
      </c>
      <c r="K2" s="445" t="s">
        <v>122</v>
      </c>
      <c r="L2" s="445" t="s">
        <v>123</v>
      </c>
      <c r="M2" s="445" t="s">
        <v>124</v>
      </c>
      <c r="N2" s="740" t="s">
        <v>226</v>
      </c>
      <c r="O2" s="445" t="s">
        <v>125</v>
      </c>
      <c r="P2" s="445" t="s">
        <v>126</v>
      </c>
      <c r="Q2" s="445" t="s">
        <v>127</v>
      </c>
      <c r="R2" s="445" t="s">
        <v>128</v>
      </c>
      <c r="S2" s="445" t="s">
        <v>129</v>
      </c>
      <c r="T2" s="445" t="s">
        <v>130</v>
      </c>
      <c r="U2" s="445" t="s">
        <v>131</v>
      </c>
      <c r="V2" s="445" t="s">
        <v>132</v>
      </c>
      <c r="W2" s="445" t="s">
        <v>133</v>
      </c>
      <c r="X2" s="445" t="s">
        <v>134</v>
      </c>
      <c r="Y2" s="445" t="s">
        <v>1</v>
      </c>
      <c r="Z2" s="445" t="s">
        <v>135</v>
      </c>
      <c r="AA2" s="445" t="s">
        <v>2</v>
      </c>
    </row>
    <row r="3" spans="1:27" s="347" customFormat="1" ht="31.5" customHeight="1" thickBot="1" x14ac:dyDescent="0.35">
      <c r="A3" s="1160"/>
      <c r="B3" s="409" t="s">
        <v>336</v>
      </c>
      <c r="C3" s="409" t="s">
        <v>336</v>
      </c>
      <c r="D3" s="409" t="s">
        <v>336</v>
      </c>
      <c r="E3" s="409" t="s">
        <v>336</v>
      </c>
      <c r="F3" s="409" t="s">
        <v>336</v>
      </c>
      <c r="G3" s="409" t="s">
        <v>336</v>
      </c>
      <c r="H3" s="409" t="s">
        <v>336</v>
      </c>
      <c r="I3" s="409" t="s">
        <v>336</v>
      </c>
      <c r="J3" s="409" t="s">
        <v>336</v>
      </c>
      <c r="K3" s="409" t="s">
        <v>336</v>
      </c>
      <c r="L3" s="409" t="s">
        <v>336</v>
      </c>
      <c r="M3" s="409" t="s">
        <v>336</v>
      </c>
      <c r="N3" s="409" t="s">
        <v>336</v>
      </c>
      <c r="O3" s="409" t="s">
        <v>336</v>
      </c>
      <c r="P3" s="409" t="s">
        <v>336</v>
      </c>
      <c r="Q3" s="409" t="s">
        <v>336</v>
      </c>
      <c r="R3" s="409" t="s">
        <v>336</v>
      </c>
      <c r="S3" s="409" t="s">
        <v>336</v>
      </c>
      <c r="T3" s="409" t="s">
        <v>336</v>
      </c>
      <c r="U3" s="409" t="s">
        <v>336</v>
      </c>
      <c r="V3" s="409" t="s">
        <v>336</v>
      </c>
      <c r="W3" s="409" t="s">
        <v>336</v>
      </c>
      <c r="X3" s="409" t="s">
        <v>336</v>
      </c>
      <c r="Y3" s="951" t="s">
        <v>336</v>
      </c>
      <c r="Z3" s="409" t="s">
        <v>336</v>
      </c>
      <c r="AA3" s="409" t="s">
        <v>336</v>
      </c>
    </row>
    <row r="4" spans="1:27" x14ac:dyDescent="0.3">
      <c r="A4" s="305" t="s">
        <v>195</v>
      </c>
      <c r="B4" s="303">
        <v>50000</v>
      </c>
      <c r="C4" s="303">
        <v>7000</v>
      </c>
      <c r="D4" s="303"/>
      <c r="E4" s="303"/>
      <c r="F4" s="303">
        <v>6000</v>
      </c>
      <c r="G4" s="303"/>
      <c r="H4" s="303"/>
      <c r="I4" s="303"/>
      <c r="J4" s="303"/>
      <c r="K4" s="303">
        <v>3000</v>
      </c>
      <c r="L4" s="303">
        <v>60000</v>
      </c>
      <c r="M4" s="303">
        <v>120000</v>
      </c>
      <c r="N4" s="303"/>
      <c r="O4" s="303">
        <v>10000</v>
      </c>
      <c r="P4" s="303"/>
      <c r="Q4" s="303">
        <v>49600</v>
      </c>
      <c r="R4" s="303"/>
      <c r="S4" s="303"/>
      <c r="T4" s="303"/>
      <c r="U4" s="303"/>
      <c r="V4" s="303"/>
      <c r="W4" s="310">
        <v>12500</v>
      </c>
      <c r="X4" s="949"/>
      <c r="Y4" s="308">
        <f>SUM(B4:X4)</f>
        <v>318100</v>
      </c>
      <c r="Z4" s="306">
        <v>0</v>
      </c>
      <c r="AA4" s="308">
        <f>SUM(Y4+Z4)</f>
        <v>318100</v>
      </c>
    </row>
    <row r="5" spans="1:27" x14ac:dyDescent="0.3">
      <c r="A5" s="302" t="s">
        <v>196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11"/>
      <c r="X5" s="950"/>
      <c r="Y5" s="309">
        <f>SUM(B5:X5)</f>
        <v>0</v>
      </c>
      <c r="Z5" s="307"/>
      <c r="AA5" s="309"/>
    </row>
    <row r="6" spans="1:27" x14ac:dyDescent="0.3">
      <c r="A6" s="302" t="s">
        <v>197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11"/>
      <c r="X6" s="950"/>
      <c r="Y6" s="309">
        <f>SUM(B6:X6)</f>
        <v>0</v>
      </c>
      <c r="Z6" s="307"/>
      <c r="AA6" s="309"/>
    </row>
    <row r="7" spans="1:27" ht="17.25" thickBot="1" x14ac:dyDescent="0.35">
      <c r="A7" s="941" t="s">
        <v>74</v>
      </c>
      <c r="B7" s="942"/>
      <c r="C7" s="942"/>
      <c r="D7" s="942"/>
      <c r="E7" s="942"/>
      <c r="F7" s="942"/>
      <c r="G7" s="942"/>
      <c r="H7" s="942"/>
      <c r="I7" s="942"/>
      <c r="J7" s="942"/>
      <c r="K7" s="942"/>
      <c r="L7" s="942"/>
      <c r="M7" s="942"/>
      <c r="N7" s="942"/>
      <c r="O7" s="942"/>
      <c r="P7" s="942"/>
      <c r="Q7" s="942"/>
      <c r="R7" s="942"/>
      <c r="S7" s="942"/>
      <c r="T7" s="942"/>
      <c r="U7" s="942"/>
      <c r="V7" s="942"/>
      <c r="W7" s="943"/>
      <c r="X7" s="952"/>
      <c r="Y7" s="954">
        <f>SUM(B7:X7)</f>
        <v>0</v>
      </c>
      <c r="Z7" s="944"/>
      <c r="AA7" s="945"/>
    </row>
    <row r="8" spans="1:27" s="940" customFormat="1" ht="18.75" thickBot="1" x14ac:dyDescent="0.4">
      <c r="A8" s="946" t="s">
        <v>54</v>
      </c>
      <c r="B8" s="947">
        <f>SUM(B4:B7)</f>
        <v>50000</v>
      </c>
      <c r="C8" s="947">
        <f t="shared" ref="C8:AA8" si="0">SUM(C4:C7)</f>
        <v>7000</v>
      </c>
      <c r="D8" s="947">
        <f t="shared" si="0"/>
        <v>0</v>
      </c>
      <c r="E8" s="947">
        <f t="shared" si="0"/>
        <v>0</v>
      </c>
      <c r="F8" s="947">
        <f t="shared" si="0"/>
        <v>6000</v>
      </c>
      <c r="G8" s="947">
        <f t="shared" si="0"/>
        <v>0</v>
      </c>
      <c r="H8" s="947">
        <f t="shared" si="0"/>
        <v>0</v>
      </c>
      <c r="I8" s="947">
        <f t="shared" si="0"/>
        <v>0</v>
      </c>
      <c r="J8" s="947">
        <f t="shared" si="0"/>
        <v>0</v>
      </c>
      <c r="K8" s="947">
        <f t="shared" si="0"/>
        <v>3000</v>
      </c>
      <c r="L8" s="947">
        <f t="shared" si="0"/>
        <v>60000</v>
      </c>
      <c r="M8" s="947">
        <f t="shared" si="0"/>
        <v>120000</v>
      </c>
      <c r="N8" s="947">
        <f t="shared" si="0"/>
        <v>0</v>
      </c>
      <c r="O8" s="948">
        <f t="shared" si="0"/>
        <v>10000</v>
      </c>
      <c r="P8" s="947">
        <f t="shared" si="0"/>
        <v>0</v>
      </c>
      <c r="Q8" s="947">
        <f t="shared" si="0"/>
        <v>49600</v>
      </c>
      <c r="R8" s="947">
        <f t="shared" si="0"/>
        <v>0</v>
      </c>
      <c r="S8" s="947">
        <f t="shared" si="0"/>
        <v>0</v>
      </c>
      <c r="T8" s="947">
        <f t="shared" si="0"/>
        <v>0</v>
      </c>
      <c r="U8" s="947">
        <f t="shared" si="0"/>
        <v>0</v>
      </c>
      <c r="V8" s="947">
        <f t="shared" si="0"/>
        <v>0</v>
      </c>
      <c r="W8" s="947">
        <f t="shared" si="0"/>
        <v>12500</v>
      </c>
      <c r="X8" s="953">
        <f t="shared" si="0"/>
        <v>0</v>
      </c>
      <c r="Y8" s="955">
        <f t="shared" si="0"/>
        <v>318100</v>
      </c>
      <c r="Z8" s="947">
        <f t="shared" si="0"/>
        <v>0</v>
      </c>
      <c r="AA8" s="947">
        <f t="shared" si="0"/>
        <v>318100</v>
      </c>
    </row>
  </sheetData>
  <mergeCells count="1">
    <mergeCell ref="A2:A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L1</vt:lpstr>
      <vt:lpstr>L2</vt:lpstr>
      <vt:lpstr>L3</vt:lpstr>
      <vt:lpstr>L4</vt:lpstr>
      <vt:lpstr>L5</vt:lpstr>
      <vt:lpstr>L6</vt:lpstr>
      <vt:lpstr>L7</vt:lpstr>
      <vt:lpstr>L10</vt:lpstr>
      <vt:lpstr>L11</vt:lpstr>
      <vt:lpstr>L15</vt:lpstr>
      <vt:lpstr>L32</vt:lpstr>
      <vt:lpstr>L37FPI</vt:lpstr>
      <vt:lpstr>L37Lives</vt:lpstr>
      <vt:lpstr>L38 FPI</vt:lpstr>
      <vt:lpstr>L38 NOP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Pande Sandeep</dc:creator>
  <cp:lastModifiedBy>Pande Sandeep</cp:lastModifiedBy>
  <dcterms:created xsi:type="dcterms:W3CDTF">2019-02-21T06:27:16Z</dcterms:created>
  <dcterms:modified xsi:type="dcterms:W3CDTF">2022-03-31T07:45:18Z</dcterms:modified>
</cp:coreProperties>
</file>